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450" windowHeight="8670" activeTab="3"/>
  </bookViews>
  <sheets>
    <sheet name="Simulatore Parametrico" sheetId="1" r:id="rId1"/>
    <sheet name="Prototipo x North" sheetId="2" r:id="rId2"/>
    <sheet name="SimulConsumo" sheetId="3" r:id="rId3"/>
    <sheet name="Conduzione" sheetId="4" r:id="rId4"/>
  </sheets>
  <definedNames>
    <definedName name="CONSUMO_W" localSheetId="1">'Prototipo x North'!$B$43</definedName>
    <definedName name="CONSUMO_W">'Simulatore Parametrico'!$B$43</definedName>
    <definedName name="Diam_filo_mm" localSheetId="1">'Prototipo x North'!$B$8</definedName>
    <definedName name="Diam_filo_mm">'Simulatore Parametrico'!$B$8</definedName>
    <definedName name="Sforzo_kg_m" localSheetId="1">'Prototipo x North'!$B$4</definedName>
    <definedName name="Sforzo_kg_m">'Simulatore Parametrico'!$B$4</definedName>
    <definedName name="Sup_vela" localSheetId="1">'Prototipo x North'!$B$3</definedName>
    <definedName name="Sup_vela">'Simulatore Parametrico'!$B$3</definedName>
    <definedName name="Temp_aria" localSheetId="1">'Prototipo x North'!$B$40</definedName>
    <definedName name="Temp_aria">'Simulatore Parametrico'!$B$40</definedName>
    <definedName name="Temp_filo_austen." localSheetId="1">'Prototipo x North'!$B$9</definedName>
    <definedName name="Temp_filo_austen.">'Simulatore Parametrico'!$B$9</definedName>
    <definedName name="V_aria_m_s" localSheetId="1">'Prototipo x North'!$B$39</definedName>
    <definedName name="V_aria_m_s">'Simulatore Parametrico'!$B$39</definedName>
  </definedNames>
  <calcPr fullCalcOnLoad="1"/>
</workbook>
</file>

<file path=xl/sharedStrings.xml><?xml version="1.0" encoding="utf-8"?>
<sst xmlns="http://schemas.openxmlformats.org/spreadsheetml/2006/main" count="334" uniqueCount="134">
  <si>
    <t>m2</t>
  </si>
  <si>
    <t>m/s</t>
  </si>
  <si>
    <t>°C</t>
  </si>
  <si>
    <t>Temperatura dell'aria T2</t>
  </si>
  <si>
    <t>kcal/h*m2*°K</t>
  </si>
  <si>
    <t>W</t>
  </si>
  <si>
    <t>Temperatura della superficie della vela TX=(U1*T1+U2*T2)/(U1+U2)</t>
  </si>
  <si>
    <t>Verifica: flusso di calore per conduzione Q1=U1*s*(T1-TX)/1,136</t>
  </si>
  <si>
    <t>m</t>
  </si>
  <si>
    <t>mm</t>
  </si>
  <si>
    <t>Superficie totale di filo</t>
  </si>
  <si>
    <t>%</t>
  </si>
  <si>
    <t>Percentuale di vela attrezzata con fili sma</t>
  </si>
  <si>
    <t>Passo tra i fili</t>
  </si>
  <si>
    <t>Lunghezza di fili / m2</t>
  </si>
  <si>
    <t>Lunghezza totale di filo</t>
  </si>
  <si>
    <t>Coeff scambio termico isolante U1=K1/s</t>
  </si>
  <si>
    <t>kcal/h*m3*°K</t>
  </si>
  <si>
    <t>Idem U2, in kcal/h = W / 1,136</t>
  </si>
  <si>
    <t>Conducibilità termica del materiale involucro fili K1</t>
  </si>
  <si>
    <t>kg/m</t>
  </si>
  <si>
    <t>kg</t>
  </si>
  <si>
    <t xml:space="preserve">     Spessore isolante</t>
  </si>
  <si>
    <t>Base</t>
  </si>
  <si>
    <t xml:space="preserve">     Velocità del vento</t>
  </si>
  <si>
    <t xml:space="preserve">     Temperatura del filo</t>
  </si>
  <si>
    <t xml:space="preserve">     Temperatura dell'aria</t>
  </si>
  <si>
    <t xml:space="preserve">     Tutti i valori della colonna</t>
  </si>
  <si>
    <t>Nu turbolento = 0,037 * Re^4/5 * Pr ^1/3, SE 500.000&lt;Re&lt;10^7</t>
  </si>
  <si>
    <t>Lambda aria "l"=</t>
  </si>
  <si>
    <t>W/(m2*°K)</t>
  </si>
  <si>
    <t>Superficie della vela</t>
  </si>
  <si>
    <t>v. sotto</t>
  </si>
  <si>
    <t>g/m2</t>
  </si>
  <si>
    <t>Peso di filo sma, totale</t>
  </si>
  <si>
    <t>Peso di filo sma, unitario</t>
  </si>
  <si>
    <t>Superficie di scambio S totale massima</t>
  </si>
  <si>
    <t>Percentuale attivata, nella specifica situazione, rispetto ai fili sma installati</t>
  </si>
  <si>
    <t>Consumo istantaneo di energia.</t>
  </si>
  <si>
    <t>In pratica il filo è esposto all'aria</t>
  </si>
  <si>
    <t>Calcolo del coefficiente di convezione</t>
  </si>
  <si>
    <t>Spessore dell'isolante s</t>
  </si>
  <si>
    <t>Importanza</t>
  </si>
  <si>
    <t>bassa</t>
  </si>
  <si>
    <t>nulla</t>
  </si>
  <si>
    <t>fondamentale</t>
  </si>
  <si>
    <t>molto alta</t>
  </si>
  <si>
    <t>trascurabile</t>
  </si>
  <si>
    <t xml:space="preserve">Sensitività dei consumi in W ai fattori di calcolo </t>
  </si>
  <si>
    <t>Velocità del vento "V aria"</t>
  </si>
  <si>
    <t>Viscosita cinematica aria a 300 °K, "n"</t>
  </si>
  <si>
    <t>Numero di Prandtl "Pr" dell'aria a 300°K</t>
  </si>
  <si>
    <t>Numero di Reynolds "Re"= Varia * L / n</t>
  </si>
  <si>
    <t>Numero di Nusselt "Nu" laminare = 0,664*Re^1/2*Pr^1/3, SE Re&lt;500.000</t>
  </si>
  <si>
    <t>"Hc" coeff convezione forzata= Nu * l / L</t>
  </si>
  <si>
    <t>proporzionali</t>
  </si>
  <si>
    <t>N.B.: Tutte le percentuali</t>
  </si>
  <si>
    <t xml:space="preserve">     Conducibilità tessuto vela</t>
  </si>
  <si>
    <t>Lunghezza significativa vela "L". Hp: allung 3:1, Lungh signif=2/3 di base</t>
  </si>
  <si>
    <t xml:space="preserve">     Sforzo tipico kg/m &gt;&gt;&gt; filo 0,5 passo 12 - 30 - 60 mm</t>
  </si>
  <si>
    <t xml:space="preserve">     Lunghezza significativa per numero di Reynolds</t>
  </si>
  <si>
    <t>CONSUMO: Flusso di calore per convezione Q2=U2*(TX-T2)*S</t>
  </si>
  <si>
    <t xml:space="preserve">        Dimensione vela: vele grandi hanno sforzi maggiori MA Re minori, oltre all'incremento proporzionale</t>
  </si>
  <si>
    <t>Sforzo standard nella membrana della vela, kg/m</t>
  </si>
  <si>
    <t>SMA sostiene fino al doppio, poi superelastico</t>
  </si>
  <si>
    <t>Forza di ogni filo</t>
  </si>
  <si>
    <t>Sforzo/ (AreaFilo*300Mpa)  1Mpa=1N/mm2</t>
  </si>
  <si>
    <t>Superficie di vela da attrezzare</t>
  </si>
  <si>
    <t>MPa=N/mm2</t>
  </si>
  <si>
    <t>Spess. vela: 0,55 mm, filo sma quasi esposto</t>
  </si>
  <si>
    <t>Valore cautelativo per fibre plastiche</t>
  </si>
  <si>
    <t>Hp: tutta la sezione del filo è isoterma</t>
  </si>
  <si>
    <t>CARATTERISTICHE DEL FILO SMA</t>
  </si>
  <si>
    <t>CARATTERISTICHE DELLA VELA</t>
  </si>
  <si>
    <t>CARATTERISTICHE AMBIENTALI</t>
  </si>
  <si>
    <t>RISULTATO: CONSUMO DI ENERGIA</t>
  </si>
  <si>
    <t>CALCOLO DEI COEFFICIENTI DI TRASMISSIONE DEL CALORE</t>
  </si>
  <si>
    <t>Forza del filo SMA, come da indicazioni ASG</t>
  </si>
  <si>
    <t>% di fibre SMA sul tessuto totale, nelle zone attrezzate</t>
  </si>
  <si>
    <t>Superficie attivata, che scambia calore</t>
  </si>
  <si>
    <t>Diametro filo mm</t>
  </si>
  <si>
    <t>% di filo che disperde calore all'aria (NB:parte del calore è diffuso nella vela)</t>
  </si>
  <si>
    <t xml:space="preserve">     Stessa resist. meccanica con filo da 0,3 / 1 mm &gt;&gt; passo 11 / 120 mm</t>
  </si>
  <si>
    <t>La vela scambia a T minore, vedi "Conduzione"</t>
  </si>
  <si>
    <t>Temperatura del filo, fase austenitica (= a sup ext) T1</t>
  </si>
  <si>
    <t>Si può attivare solo per una funzione precisa</t>
  </si>
  <si>
    <t>Numero di ore della regata</t>
  </si>
  <si>
    <t>h</t>
  </si>
  <si>
    <t>Tempo di uso SMA a piena forza</t>
  </si>
  <si>
    <t>Tempo di uso SMA a mezza forza</t>
  </si>
  <si>
    <t>Tempo di uso SMA a doppia forza</t>
  </si>
  <si>
    <t>Ah</t>
  </si>
  <si>
    <t>Capacità della batteria</t>
  </si>
  <si>
    <t>Wh</t>
  </si>
  <si>
    <t>Dispersioni elettrotermiche</t>
  </si>
  <si>
    <t>Consumo TOTALE</t>
  </si>
  <si>
    <t>Consumo REALE</t>
  </si>
  <si>
    <t>Cali Ah/Wh</t>
  </si>
  <si>
    <t>Numero di regate di autonomia</t>
  </si>
  <si>
    <t>Capacità della batteria all'utenza</t>
  </si>
  <si>
    <t>Tempo di uso equivalente</t>
  </si>
  <si>
    <t>N°</t>
  </si>
  <si>
    <t>Consumo calcolato sotto carico</t>
  </si>
  <si>
    <t>0,5 / 200</t>
  </si>
  <si>
    <t>1 / 800</t>
  </si>
  <si>
    <t>0,25 / 50</t>
  </si>
  <si>
    <t xml:space="preserve">     Stessa resist. meccanica con filo da 0,25 / 1 mm &gt;&gt; passo 50 / 800 mm</t>
  </si>
  <si>
    <t xml:space="preserve">     Sforzo tipico kg/m &gt;&gt;&gt; filo 0,5 passo 100 - 200 - 400 mm</t>
  </si>
  <si>
    <t>Si può anche attivare solo qualche funzione</t>
  </si>
  <si>
    <t>FOGLIO CON LE SIMULAZIONI PER DETERMINARE LA SUPERFICIE EQUIVALENTE DI SCAMBIO TERMICO PER CONVEZIONE, RISPETTO AL DETTGALIO DELLA CONDUZIONE IN VELA + CONVEZIONE DA TESSUTO TIEPIDO</t>
  </si>
  <si>
    <t>Spessore filo mm</t>
  </si>
  <si>
    <t>Temperatura del filo, fase austenitica (= alla superficie esterna) T1</t>
  </si>
  <si>
    <t>Forza del filo SMA</t>
  </si>
  <si>
    <t>Tfilo</t>
  </si>
  <si>
    <t>Taria</t>
  </si>
  <si>
    <t>passo fili</t>
  </si>
  <si>
    <t>semi</t>
  </si>
  <si>
    <t>diam filo</t>
  </si>
  <si>
    <t>raggio</t>
  </si>
  <si>
    <t>da</t>
  </si>
  <si>
    <t>a</t>
  </si>
  <si>
    <t>Smed</t>
  </si>
  <si>
    <t>atanmax</t>
  </si>
  <si>
    <t>°max</t>
  </si>
  <si>
    <t>°/90</t>
  </si>
  <si>
    <t>Tsup(med)</t>
  </si>
  <si>
    <t>PesiTsup</t>
  </si>
  <si>
    <t>PesiSmed</t>
  </si>
  <si>
    <t>W*%</t>
  </si>
  <si>
    <t>Percentuale di filo che disperde calore all'aria:(hp: flusso intra vela molto ridotto)</t>
  </si>
  <si>
    <t>Si attiva solo per una funzione precisa</t>
  </si>
  <si>
    <t>Superficie che scambia calore</t>
  </si>
  <si>
    <t>Consumo 100% a spess 0,025</t>
  </si>
  <si>
    <t>% equivalente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</si>
</sst>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35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 quotePrefix="1">
      <alignment horizontal="right"/>
    </xf>
    <xf numFmtId="0" fontId="0" fillId="0" borderId="16" xfId="0" applyFont="1" applyBorder="1" applyAlignment="1">
      <alignment horizontal="center"/>
    </xf>
    <xf numFmtId="1" fontId="0" fillId="0" borderId="18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1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9" fontId="0" fillId="33" borderId="0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166" fontId="0" fillId="34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9" fontId="0" fillId="33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71" fontId="1" fillId="0" borderId="0" xfId="43" applyNumberFormat="1" applyFont="1" applyBorder="1" applyAlignment="1">
      <alignment/>
    </xf>
    <xf numFmtId="166" fontId="0" fillId="0" borderId="0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33" borderId="22" xfId="0" applyFont="1" applyFill="1" applyBorder="1" applyAlignment="1" applyProtection="1">
      <alignment/>
      <protection locked="0"/>
    </xf>
    <xf numFmtId="173" fontId="1" fillId="0" borderId="0" xfId="43" applyNumberFormat="1" applyFont="1" applyBorder="1" applyAlignment="1">
      <alignment/>
    </xf>
    <xf numFmtId="9" fontId="1" fillId="0" borderId="0" xfId="48" applyFont="1" applyAlignment="1">
      <alignment/>
    </xf>
    <xf numFmtId="166" fontId="25" fillId="20" borderId="0" xfId="47" applyNumberFormat="1" applyBorder="1" applyAlignment="1">
      <alignment/>
    </xf>
    <xf numFmtId="9" fontId="1" fillId="0" borderId="0" xfId="48" applyFont="1" applyBorder="1" applyAlignment="1">
      <alignment/>
    </xf>
    <xf numFmtId="165" fontId="25" fillId="20" borderId="0" xfId="47" applyNumberFormat="1" applyBorder="1" applyAlignment="1">
      <alignment/>
    </xf>
    <xf numFmtId="2" fontId="25" fillId="20" borderId="0" xfId="47" applyNumberFormat="1" applyBorder="1" applyAlignment="1">
      <alignment/>
    </xf>
    <xf numFmtId="166" fontId="0" fillId="34" borderId="20" xfId="0" applyNumberFormat="1" applyFont="1" applyFill="1" applyBorder="1" applyAlignment="1">
      <alignment/>
    </xf>
    <xf numFmtId="165" fontId="0" fillId="0" borderId="20" xfId="0" applyNumberFormat="1" applyFont="1" applyBorder="1" applyAlignment="1">
      <alignment/>
    </xf>
    <xf numFmtId="171" fontId="2" fillId="35" borderId="22" xfId="43" applyNumberFormat="1" applyFont="1" applyFill="1" applyBorder="1" applyAlignment="1">
      <alignment/>
    </xf>
    <xf numFmtId="171" fontId="2" fillId="0" borderId="20" xfId="43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1" fontId="0" fillId="0" borderId="22" xfId="0" applyNumberFormat="1" applyFont="1" applyBorder="1" applyAlignment="1">
      <alignment/>
    </xf>
    <xf numFmtId="170" fontId="1" fillId="0" borderId="0" xfId="43" applyNumberFormat="1" applyFont="1" applyBorder="1" applyAlignment="1">
      <alignment/>
    </xf>
    <xf numFmtId="1" fontId="25" fillId="20" borderId="23" xfId="47" applyNumberFormat="1" applyBorder="1" applyAlignment="1">
      <alignment/>
    </xf>
    <xf numFmtId="2" fontId="0" fillId="0" borderId="0" xfId="0" applyNumberFormat="1" applyAlignment="1">
      <alignment/>
    </xf>
    <xf numFmtId="9" fontId="0" fillId="0" borderId="0" xfId="48" applyFont="1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9" fontId="0" fillId="33" borderId="0" xfId="0" applyNumberFormat="1" applyFont="1" applyFill="1" applyBorder="1" applyAlignment="1" applyProtection="1">
      <alignment horizontal="right"/>
      <protection/>
    </xf>
    <xf numFmtId="166" fontId="0" fillId="34" borderId="22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66" fontId="25" fillId="20" borderId="24" xfId="47" applyNumberFormat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/>
      <protection/>
    </xf>
    <xf numFmtId="9" fontId="1" fillId="0" borderId="20" xfId="48" applyFont="1" applyBorder="1" applyAlignment="1" applyProtection="1">
      <alignment/>
      <protection/>
    </xf>
    <xf numFmtId="9" fontId="1" fillId="0" borderId="0" xfId="48" applyFont="1" applyAlignment="1">
      <alignment/>
    </xf>
    <xf numFmtId="9" fontId="0" fillId="33" borderId="0" xfId="0" applyNumberFormat="1" applyFont="1" applyFill="1" applyBorder="1" applyAlignment="1" applyProtection="1">
      <alignment/>
      <protection/>
    </xf>
    <xf numFmtId="165" fontId="25" fillId="20" borderId="24" xfId="47" applyNumberForma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9" fontId="1" fillId="35" borderId="25" xfId="48" applyFont="1" applyFill="1" applyBorder="1" applyAlignment="1">
      <alignment/>
    </xf>
    <xf numFmtId="171" fontId="1" fillId="0" borderId="0" xfId="43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right"/>
      <protection/>
    </xf>
    <xf numFmtId="2" fontId="25" fillId="20" borderId="5" xfId="47" applyNumberFormat="1" applyAlignment="1" applyProtection="1">
      <alignment/>
      <protection/>
    </xf>
    <xf numFmtId="173" fontId="1" fillId="0" borderId="0" xfId="43" applyNumberFormat="1" applyFont="1" applyBorder="1" applyAlignment="1" applyProtection="1">
      <alignment/>
      <protection/>
    </xf>
    <xf numFmtId="171" fontId="2" fillId="35" borderId="24" xfId="43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25" fillId="20" borderId="26" xfId="47" applyNumberForma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2667000</xdr:colOff>
      <xdr:row>1</xdr:row>
      <xdr:rowOff>47625</xdr:rowOff>
    </xdr:from>
    <xdr:to>
      <xdr:col>0</xdr:col>
      <xdr:colOff>3448050</xdr:colOff>
      <xdr:row>17</xdr:row>
      <xdr:rowOff>66675</xdr:rowOff>
    </xdr:to>
    <xdr:sp>
      <xdr:nvSpPr>
        <xdr:cNvPr id="1" name="Triangolo rettangolo 1"/>
        <xdr:cNvSpPr>
          <a:spLocks/>
        </xdr:cNvSpPr>
      </xdr:nvSpPr>
      <xdr:spPr>
        <a:xfrm>
          <a:off x="2667000" y="190500"/>
          <a:ext cx="781050" cy="2305050"/>
        </a:xfrm>
        <a:prstGeom prst="rtTriangl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2876550</xdr:colOff>
      <xdr:row>11</xdr:row>
      <xdr:rowOff>47625</xdr:rowOff>
    </xdr:from>
    <xdr:to>
      <xdr:col>0</xdr:col>
      <xdr:colOff>3019425</xdr:colOff>
      <xdr:row>16</xdr:row>
      <xdr:rowOff>85725</xdr:rowOff>
    </xdr:to>
    <xdr:sp>
      <xdr:nvSpPr>
        <xdr:cNvPr id="2" name="Rettangolo arrotondato 2"/>
        <xdr:cNvSpPr>
          <a:spLocks/>
        </xdr:cNvSpPr>
      </xdr:nvSpPr>
      <xdr:spPr>
        <a:xfrm>
          <a:off x="2876550" y="1619250"/>
          <a:ext cx="142875" cy="752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2667000</xdr:colOff>
      <xdr:row>1</xdr:row>
      <xdr:rowOff>47625</xdr:rowOff>
    </xdr:from>
    <xdr:to>
      <xdr:col>0</xdr:col>
      <xdr:colOff>3448050</xdr:colOff>
      <xdr:row>17</xdr:row>
      <xdr:rowOff>66675</xdr:rowOff>
    </xdr:to>
    <xdr:sp>
      <xdr:nvSpPr>
        <xdr:cNvPr id="1" name="Triangolo rettangolo 1"/>
        <xdr:cNvSpPr>
          <a:spLocks/>
        </xdr:cNvSpPr>
      </xdr:nvSpPr>
      <xdr:spPr>
        <a:xfrm>
          <a:off x="2667000" y="190500"/>
          <a:ext cx="781050" cy="2305050"/>
        </a:xfrm>
        <a:prstGeom prst="rtTriangl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D23" sqref="D23"/>
    </sheetView>
  </sheetViews>
  <sheetFormatPr defaultColWidth="9.33203125" defaultRowHeight="11.25"/>
  <cols>
    <col min="1" max="1" width="61.83203125" style="1" customWidth="1"/>
    <col min="2" max="2" width="13.33203125" style="1" customWidth="1"/>
    <col min="3" max="3" width="11.5" style="1" customWidth="1"/>
    <col min="4" max="4" width="10.66015625" style="1" customWidth="1"/>
    <col min="5" max="7" width="9.33203125" style="1" customWidth="1"/>
    <col min="8" max="8" width="10.16015625" style="1" bestFit="1" customWidth="1"/>
    <col min="9" max="16384" width="9.33203125" style="1" customWidth="1"/>
  </cols>
  <sheetData>
    <row r="1" spans="1:7" ht="11.25">
      <c r="A1" s="32"/>
      <c r="B1" s="33"/>
      <c r="C1" s="33"/>
      <c r="D1" s="33"/>
      <c r="E1" s="33"/>
      <c r="F1" s="33"/>
      <c r="G1" s="33"/>
    </row>
    <row r="2" spans="1:7" ht="11.25">
      <c r="A2" s="27" t="s">
        <v>73</v>
      </c>
      <c r="B2" s="28"/>
      <c r="C2" s="28"/>
      <c r="D2" s="28"/>
      <c r="E2" s="28"/>
      <c r="F2" s="28"/>
      <c r="G2" s="30"/>
    </row>
    <row r="3" spans="1:7" ht="11.25">
      <c r="A3" s="3" t="s">
        <v>31</v>
      </c>
      <c r="B3" s="31">
        <v>21.1</v>
      </c>
      <c r="C3" s="33" t="s">
        <v>0</v>
      </c>
      <c r="D3" s="32"/>
      <c r="E3" s="33"/>
      <c r="F3" s="33"/>
      <c r="G3" s="4"/>
    </row>
    <row r="4" spans="1:7" ht="11.25">
      <c r="A4" s="3" t="s">
        <v>63</v>
      </c>
      <c r="B4" s="31">
        <v>50</v>
      </c>
      <c r="C4" s="32" t="s">
        <v>20</v>
      </c>
      <c r="D4" s="33"/>
      <c r="E4" s="33"/>
      <c r="F4" s="33"/>
      <c r="G4" s="4"/>
    </row>
    <row r="5" spans="1:7" ht="11.25">
      <c r="A5" s="11" t="s">
        <v>12</v>
      </c>
      <c r="B5" s="34">
        <v>0.15</v>
      </c>
      <c r="C5" s="33" t="s">
        <v>11</v>
      </c>
      <c r="D5" s="33"/>
      <c r="E5" s="33"/>
      <c r="F5" s="33"/>
      <c r="G5" s="35"/>
    </row>
    <row r="6" spans="1:7" ht="11.25">
      <c r="A6" s="5" t="s">
        <v>67</v>
      </c>
      <c r="B6" s="36">
        <f>+B3*B5</f>
        <v>3.165</v>
      </c>
      <c r="C6" s="37" t="s">
        <v>0</v>
      </c>
      <c r="D6" s="37"/>
      <c r="E6" s="37"/>
      <c r="F6" s="37"/>
      <c r="G6" s="6"/>
    </row>
    <row r="7" spans="1:7" ht="11.25">
      <c r="A7" s="27" t="s">
        <v>72</v>
      </c>
      <c r="B7" s="53"/>
      <c r="C7" s="28"/>
      <c r="D7" s="28"/>
      <c r="E7" s="28"/>
      <c r="F7" s="28"/>
      <c r="G7" s="30"/>
    </row>
    <row r="8" spans="1:7" ht="11.25">
      <c r="A8" s="3" t="s">
        <v>80</v>
      </c>
      <c r="B8" s="31">
        <v>0.5</v>
      </c>
      <c r="C8" s="33" t="s">
        <v>9</v>
      </c>
      <c r="D8" s="33"/>
      <c r="E8" s="33"/>
      <c r="F8" s="33"/>
      <c r="G8" s="4"/>
    </row>
    <row r="9" spans="1:7" ht="11.25">
      <c r="A9" s="3" t="s">
        <v>84</v>
      </c>
      <c r="B9" s="31">
        <v>60</v>
      </c>
      <c r="C9" s="32"/>
      <c r="D9" s="32" t="s">
        <v>71</v>
      </c>
      <c r="E9" s="33"/>
      <c r="F9" s="33"/>
      <c r="G9" s="4"/>
    </row>
    <row r="10" spans="1:7" ht="11.25">
      <c r="A10" s="3" t="s">
        <v>77</v>
      </c>
      <c r="B10" s="38">
        <v>300</v>
      </c>
      <c r="C10" s="32" t="s">
        <v>68</v>
      </c>
      <c r="D10" s="32" t="s">
        <v>64</v>
      </c>
      <c r="E10" s="33"/>
      <c r="F10" s="33"/>
      <c r="G10" s="4"/>
    </row>
    <row r="11" spans="1:7" ht="11.25">
      <c r="A11" s="3" t="s">
        <v>65</v>
      </c>
      <c r="B11" s="38">
        <f>+(3.14159/4*B8^2)*B10/9.81</f>
        <v>6.004568042813455</v>
      </c>
      <c r="C11" s="2" t="s">
        <v>21</v>
      </c>
      <c r="D11" s="32"/>
      <c r="E11" s="33"/>
      <c r="F11" s="33"/>
      <c r="G11" s="4"/>
    </row>
    <row r="12" spans="1:7" ht="11.25">
      <c r="A12" s="11" t="s">
        <v>13</v>
      </c>
      <c r="B12" s="49">
        <f>+B11*1000/B4</f>
        <v>120.09136085626909</v>
      </c>
      <c r="C12" s="33" t="s">
        <v>9</v>
      </c>
      <c r="D12" s="32" t="s">
        <v>66</v>
      </c>
      <c r="E12" s="33"/>
      <c r="F12" s="33"/>
      <c r="G12" s="35"/>
    </row>
    <row r="13" spans="1:7" ht="11.25">
      <c r="A13" s="11" t="s">
        <v>14</v>
      </c>
      <c r="B13" s="38">
        <f>1000/B12</f>
        <v>8.326993656078612</v>
      </c>
      <c r="C13" s="33" t="s">
        <v>8</v>
      </c>
      <c r="D13" s="33"/>
      <c r="E13" s="33"/>
      <c r="F13" s="33"/>
      <c r="G13" s="4"/>
    </row>
    <row r="14" spans="1:7" ht="11.25">
      <c r="A14" s="11" t="s">
        <v>15</v>
      </c>
      <c r="B14" s="38">
        <f>+B13*B6</f>
        <v>26.354934921488805</v>
      </c>
      <c r="C14" s="33" t="s">
        <v>8</v>
      </c>
      <c r="D14" s="33"/>
      <c r="E14" s="33"/>
      <c r="F14" s="33"/>
      <c r="G14" s="35"/>
    </row>
    <row r="15" spans="1:7" ht="11.25">
      <c r="A15" s="3" t="s">
        <v>34</v>
      </c>
      <c r="B15" s="38">
        <f>+B8^2/4*3.14159*B14*6.45/10^3</f>
        <v>0.033377298750000006</v>
      </c>
      <c r="C15" s="38" t="s">
        <v>21</v>
      </c>
      <c r="D15" s="38"/>
      <c r="E15" s="33"/>
      <c r="F15" s="33"/>
      <c r="G15" s="4"/>
    </row>
    <row r="16" spans="1:7" ht="11.25">
      <c r="A16" s="3" t="s">
        <v>35</v>
      </c>
      <c r="B16" s="38">
        <f>+B15/B6*1000</f>
        <v>10.545750000000002</v>
      </c>
      <c r="C16" s="38" t="s">
        <v>33</v>
      </c>
      <c r="D16" s="38"/>
      <c r="E16" s="33"/>
      <c r="F16" s="33"/>
      <c r="G16" s="4"/>
    </row>
    <row r="17" spans="1:7" ht="11.25">
      <c r="A17" s="3" t="s">
        <v>10</v>
      </c>
      <c r="B17" s="40">
        <f>+B14*3.14159*B8/1000</f>
        <v>0.04139820000000001</v>
      </c>
      <c r="C17" s="38" t="s">
        <v>0</v>
      </c>
      <c r="D17" s="38"/>
      <c r="E17" s="33"/>
      <c r="F17" s="33"/>
      <c r="G17" s="4"/>
    </row>
    <row r="18" spans="1:7" ht="11.25">
      <c r="A18" s="5" t="s">
        <v>78</v>
      </c>
      <c r="B18" s="48">
        <f>+B17/B6</f>
        <v>0.013080000000000003</v>
      </c>
      <c r="C18" s="45" t="s">
        <v>11</v>
      </c>
      <c r="D18" s="37"/>
      <c r="E18" s="37"/>
      <c r="F18" s="37"/>
      <c r="G18" s="6"/>
    </row>
    <row r="19" spans="1:7" ht="11.25">
      <c r="A19" s="27" t="s">
        <v>76</v>
      </c>
      <c r="B19" s="54"/>
      <c r="C19" s="28"/>
      <c r="D19" s="28"/>
      <c r="E19" s="28"/>
      <c r="F19" s="28"/>
      <c r="G19" s="30"/>
    </row>
    <row r="20" spans="1:7" ht="11.25">
      <c r="A20" s="3" t="s">
        <v>81</v>
      </c>
      <c r="B20" s="50">
        <v>0.9</v>
      </c>
      <c r="C20" s="33" t="s">
        <v>11</v>
      </c>
      <c r="D20" s="32" t="s">
        <v>83</v>
      </c>
      <c r="E20" s="33"/>
      <c r="F20" s="33"/>
      <c r="G20" s="4"/>
    </row>
    <row r="21" spans="1:7" ht="11.25">
      <c r="A21" s="3" t="s">
        <v>36</v>
      </c>
      <c r="B21" s="40">
        <f>+B17*B20</f>
        <v>0.03725838000000001</v>
      </c>
      <c r="C21" s="33" t="s">
        <v>0</v>
      </c>
      <c r="D21" s="33"/>
      <c r="E21" s="33"/>
      <c r="F21" s="33"/>
      <c r="G21" s="4"/>
    </row>
    <row r="22" spans="1:7" ht="11.25">
      <c r="A22" s="3" t="s">
        <v>37</v>
      </c>
      <c r="B22" s="41">
        <v>1</v>
      </c>
      <c r="C22" s="2" t="s">
        <v>11</v>
      </c>
      <c r="D22" s="32" t="s">
        <v>108</v>
      </c>
      <c r="E22" s="33"/>
      <c r="F22" s="33"/>
      <c r="G22" s="4"/>
    </row>
    <row r="23" spans="1:7" ht="11.25">
      <c r="A23" s="3" t="s">
        <v>79</v>
      </c>
      <c r="B23" s="51">
        <f>+B21*B22</f>
        <v>0.03725838000000001</v>
      </c>
      <c r="C23" s="2" t="s">
        <v>0</v>
      </c>
      <c r="D23" s="33"/>
      <c r="E23" s="33"/>
      <c r="F23" s="33"/>
      <c r="G23" s="4"/>
    </row>
    <row r="24" spans="1:7" ht="11.25">
      <c r="A24" s="11"/>
      <c r="B24" s="42"/>
      <c r="C24" s="33"/>
      <c r="D24" s="33"/>
      <c r="E24" s="33"/>
      <c r="F24" s="33"/>
      <c r="G24" s="4"/>
    </row>
    <row r="25" spans="1:7" ht="11.25">
      <c r="A25" s="3" t="s">
        <v>50</v>
      </c>
      <c r="B25" s="32">
        <f>1.57*10^-5</f>
        <v>1.5700000000000002E-05</v>
      </c>
      <c r="C25" s="33"/>
      <c r="D25" s="32" t="s">
        <v>40</v>
      </c>
      <c r="E25" s="33"/>
      <c r="F25" s="33"/>
      <c r="G25" s="4"/>
    </row>
    <row r="26" spans="1:7" ht="11.25">
      <c r="A26" s="11" t="s">
        <v>29</v>
      </c>
      <c r="B26" s="32">
        <v>0.0261</v>
      </c>
      <c r="C26" s="33"/>
      <c r="D26" s="33"/>
      <c r="E26" s="33"/>
      <c r="F26" s="33"/>
      <c r="G26" s="4"/>
    </row>
    <row r="27" spans="1:8" ht="11.25">
      <c r="A27" s="3" t="s">
        <v>51</v>
      </c>
      <c r="B27" s="39">
        <v>0.71</v>
      </c>
      <c r="C27" s="33"/>
      <c r="D27" s="33"/>
      <c r="E27" s="33"/>
      <c r="F27" s="33"/>
      <c r="G27" s="4"/>
      <c r="H27"/>
    </row>
    <row r="28" spans="1:8" ht="11.25">
      <c r="A28" s="3" t="s">
        <v>58</v>
      </c>
      <c r="B28" s="42">
        <f>0.666666666666667*(2/3*B3)^0.5</f>
        <v>2.500370342939593</v>
      </c>
      <c r="C28" s="32" t="s">
        <v>8</v>
      </c>
      <c r="D28" s="42">
        <f>0.666666666666667*(2/3*D3)^0.5</f>
        <v>0</v>
      </c>
      <c r="E28" s="42"/>
      <c r="F28" s="33"/>
      <c r="G28" s="35"/>
      <c r="H28"/>
    </row>
    <row r="29" spans="1:11" ht="11.25">
      <c r="A29" s="3" t="s">
        <v>52</v>
      </c>
      <c r="B29" s="43">
        <f>+B39*B28/B25</f>
        <v>1592592.5751207597</v>
      </c>
      <c r="C29" s="33"/>
      <c r="D29" s="33"/>
      <c r="E29" s="33"/>
      <c r="F29" s="33"/>
      <c r="G29" s="4"/>
      <c r="I29"/>
      <c r="J29"/>
      <c r="K29"/>
    </row>
    <row r="30" spans="1:8" ht="11.25">
      <c r="A30" s="3" t="s">
        <v>53</v>
      </c>
      <c r="B30" s="44" t="s">
        <v>32</v>
      </c>
      <c r="C30" s="33"/>
      <c r="D30" s="33"/>
      <c r="E30" s="33"/>
      <c r="F30" s="33"/>
      <c r="G30" s="4"/>
      <c r="H30"/>
    </row>
    <row r="31" spans="1:7" ht="11.25">
      <c r="A31" s="3" t="s">
        <v>28</v>
      </c>
      <c r="B31" s="42">
        <f>IF(B29&lt;500000,0.664*B29^(1/2)*B27^(1/3),0.037*B29^(4/5)*B27^(1/3))</f>
        <v>3022.072806478145</v>
      </c>
      <c r="C31" s="33"/>
      <c r="D31" s="33"/>
      <c r="E31" s="33"/>
      <c r="F31" s="33"/>
      <c r="G31" s="4"/>
    </row>
    <row r="32" spans="1:7" ht="11.25">
      <c r="A32" s="3" t="s">
        <v>54</v>
      </c>
      <c r="B32" s="42">
        <f>+B31*B26/B28</f>
        <v>31.54576699879902</v>
      </c>
      <c r="C32" s="32" t="s">
        <v>30</v>
      </c>
      <c r="D32" s="33"/>
      <c r="E32" s="33"/>
      <c r="F32" s="33"/>
      <c r="G32" s="4"/>
    </row>
    <row r="33" spans="1:7" ht="11.25">
      <c r="A33" s="11" t="s">
        <v>18</v>
      </c>
      <c r="B33" s="52">
        <f>+B32/1.136</f>
        <v>27.769161090492098</v>
      </c>
      <c r="C33" s="33" t="s">
        <v>4</v>
      </c>
      <c r="D33" s="33"/>
      <c r="E33" s="33"/>
      <c r="F33" s="33"/>
      <c r="G33" s="4"/>
    </row>
    <row r="34" spans="1:7" ht="11.25">
      <c r="A34" s="11"/>
      <c r="B34" s="42"/>
      <c r="C34" s="33"/>
      <c r="D34" s="33"/>
      <c r="E34" s="33"/>
      <c r="F34" s="33"/>
      <c r="G34" s="4"/>
    </row>
    <row r="35" spans="1:7" ht="11.25">
      <c r="A35" s="3" t="s">
        <v>41</v>
      </c>
      <c r="B35" s="47">
        <v>0.025</v>
      </c>
      <c r="C35" s="32" t="s">
        <v>9</v>
      </c>
      <c r="D35" s="32" t="s">
        <v>69</v>
      </c>
      <c r="E35" s="33"/>
      <c r="F35" s="33"/>
      <c r="G35" s="4"/>
    </row>
    <row r="36" spans="1:7" ht="11.25">
      <c r="A36" s="11" t="s">
        <v>19</v>
      </c>
      <c r="B36" s="60">
        <v>0.5</v>
      </c>
      <c r="C36" s="33" t="s">
        <v>17</v>
      </c>
      <c r="D36" s="32" t="s">
        <v>70</v>
      </c>
      <c r="E36" s="33"/>
      <c r="F36" s="33"/>
      <c r="G36" s="4"/>
    </row>
    <row r="37" spans="1:7" ht="11.25">
      <c r="A37" s="9" t="s">
        <v>16</v>
      </c>
      <c r="B37" s="55">
        <f>+B36/(B35/1000)</f>
        <v>20000</v>
      </c>
      <c r="C37" s="37" t="s">
        <v>4</v>
      </c>
      <c r="D37" s="45"/>
      <c r="E37" s="37"/>
      <c r="F37" s="37"/>
      <c r="G37" s="6"/>
    </row>
    <row r="38" spans="1:7" ht="11.25">
      <c r="A38" s="27" t="s">
        <v>74</v>
      </c>
      <c r="B38" s="56"/>
      <c r="C38" s="28"/>
      <c r="D38" s="29"/>
      <c r="E38" s="28"/>
      <c r="F38" s="28"/>
      <c r="G38" s="30"/>
    </row>
    <row r="39" spans="1:7" ht="11.25">
      <c r="A39" s="3" t="s">
        <v>49</v>
      </c>
      <c r="B39" s="31">
        <v>10</v>
      </c>
      <c r="C39" s="33" t="s">
        <v>1</v>
      </c>
      <c r="D39" s="33"/>
      <c r="E39" s="33"/>
      <c r="F39" s="33"/>
      <c r="G39" s="4"/>
    </row>
    <row r="40" spans="1:7" ht="11.25">
      <c r="A40" s="9" t="s">
        <v>3</v>
      </c>
      <c r="B40" s="46">
        <v>20</v>
      </c>
      <c r="C40" s="37" t="s">
        <v>2</v>
      </c>
      <c r="D40" s="37"/>
      <c r="E40" s="37"/>
      <c r="F40" s="37"/>
      <c r="G40" s="6"/>
    </row>
    <row r="41" spans="1:7" ht="11.25">
      <c r="A41" s="57" t="s">
        <v>75</v>
      </c>
      <c r="B41" s="58"/>
      <c r="C41" s="28"/>
      <c r="D41" s="28"/>
      <c r="E41" s="28"/>
      <c r="F41" s="28"/>
      <c r="G41" s="30"/>
    </row>
    <row r="42" spans="1:7" ht="12" thickBot="1">
      <c r="A42" s="11" t="s">
        <v>6</v>
      </c>
      <c r="B42" s="39">
        <f>+(B37*B9+B33*B40)/(B37+B33)</f>
        <v>59.94453868353058</v>
      </c>
      <c r="C42" s="33" t="s">
        <v>2</v>
      </c>
      <c r="D42" s="32" t="s">
        <v>39</v>
      </c>
      <c r="E42" s="33"/>
      <c r="F42" s="33"/>
      <c r="G42" s="4"/>
    </row>
    <row r="43" spans="1:7" ht="12.75" thickBot="1" thickTop="1">
      <c r="A43" s="3" t="s">
        <v>61</v>
      </c>
      <c r="B43" s="61">
        <f>+B33*(B42-B40)*B23</f>
        <v>41.327976086356465</v>
      </c>
      <c r="C43" s="33" t="s">
        <v>5</v>
      </c>
      <c r="D43" s="32" t="s">
        <v>38</v>
      </c>
      <c r="E43" s="33"/>
      <c r="F43" s="33"/>
      <c r="G43" s="4"/>
    </row>
    <row r="44" spans="1:7" ht="12" thickTop="1">
      <c r="A44" s="9" t="s">
        <v>7</v>
      </c>
      <c r="B44" s="59">
        <f>+B37*(B9-B42)*B23</f>
        <v>41.327976086357346</v>
      </c>
      <c r="C44" s="37" t="s">
        <v>5</v>
      </c>
      <c r="D44" s="37"/>
      <c r="E44" s="37"/>
      <c r="F44" s="37"/>
      <c r="G44" s="6"/>
    </row>
    <row r="45" spans="1:7" ht="11.25">
      <c r="A45" s="33"/>
      <c r="B45" s="33"/>
      <c r="C45" s="33"/>
      <c r="D45" s="33"/>
      <c r="E45" s="33"/>
      <c r="F45" s="33"/>
      <c r="G45" s="33"/>
    </row>
    <row r="47" spans="1:6" ht="11.25">
      <c r="A47" s="7" t="s">
        <v>48</v>
      </c>
      <c r="B47" s="13"/>
      <c r="C47" s="19" t="s">
        <v>23</v>
      </c>
      <c r="D47" s="15"/>
      <c r="E47" s="10" t="s">
        <v>42</v>
      </c>
      <c r="F47" s="8"/>
    </row>
    <row r="48" spans="1:6" ht="11.25">
      <c r="A48" s="3" t="s">
        <v>60</v>
      </c>
      <c r="B48" s="11"/>
      <c r="C48" s="16"/>
      <c r="D48" s="16"/>
      <c r="E48" s="3" t="s">
        <v>43</v>
      </c>
      <c r="F48" s="4"/>
    </row>
    <row r="49" spans="1:6" ht="11.25">
      <c r="A49" s="9"/>
      <c r="B49" s="9"/>
      <c r="C49" s="20"/>
      <c r="D49" s="17"/>
      <c r="E49" s="9"/>
      <c r="F49" s="6"/>
    </row>
    <row r="50" spans="1:6" ht="11.25">
      <c r="A50" s="3" t="s">
        <v>22</v>
      </c>
      <c r="B50" s="11"/>
      <c r="C50" s="16"/>
      <c r="D50" s="16"/>
      <c r="E50" s="3" t="s">
        <v>47</v>
      </c>
      <c r="F50" s="4"/>
    </row>
    <row r="51" spans="1:6" ht="11.25">
      <c r="A51" s="9"/>
      <c r="B51" s="9"/>
      <c r="C51" s="20"/>
      <c r="D51" s="17"/>
      <c r="E51" s="9"/>
      <c r="F51" s="6"/>
    </row>
    <row r="52" spans="1:6" ht="11.25">
      <c r="A52" s="3" t="s">
        <v>57</v>
      </c>
      <c r="B52" s="11"/>
      <c r="C52" s="16"/>
      <c r="D52" s="16"/>
      <c r="E52" s="3" t="s">
        <v>44</v>
      </c>
      <c r="F52" s="4"/>
    </row>
    <row r="53" spans="1:6" ht="11.25">
      <c r="A53" s="9"/>
      <c r="B53" s="9"/>
      <c r="C53" s="20"/>
      <c r="D53" s="17"/>
      <c r="E53" s="5"/>
      <c r="F53" s="6"/>
    </row>
    <row r="54" spans="1:6" ht="11.25">
      <c r="A54" s="3" t="s">
        <v>24</v>
      </c>
      <c r="B54" s="11"/>
      <c r="C54" s="16"/>
      <c r="D54" s="16"/>
      <c r="E54" s="3" t="s">
        <v>45</v>
      </c>
      <c r="F54" s="4"/>
    </row>
    <row r="55" spans="1:6" ht="11.25">
      <c r="A55" s="9"/>
      <c r="B55" s="9"/>
      <c r="C55" s="20"/>
      <c r="D55" s="17"/>
      <c r="E55" s="9"/>
      <c r="F55" s="6"/>
    </row>
    <row r="56" spans="1:6" ht="11.25">
      <c r="A56" s="3" t="s">
        <v>25</v>
      </c>
      <c r="B56" s="11"/>
      <c r="C56" s="16"/>
      <c r="D56" s="16"/>
      <c r="E56" s="3" t="s">
        <v>45</v>
      </c>
      <c r="F56" s="4"/>
    </row>
    <row r="57" spans="1:6" ht="11.25">
      <c r="A57" s="9"/>
      <c r="B57" s="9"/>
      <c r="C57" s="20"/>
      <c r="D57" s="17"/>
      <c r="E57" s="9"/>
      <c r="F57" s="6"/>
    </row>
    <row r="58" spans="1:6" ht="11.25">
      <c r="A58" s="3" t="s">
        <v>26</v>
      </c>
      <c r="B58" s="11"/>
      <c r="C58" s="16"/>
      <c r="D58" s="16"/>
      <c r="E58" s="3" t="s">
        <v>46</v>
      </c>
      <c r="F58" s="4"/>
    </row>
    <row r="59" spans="1:6" ht="11.25">
      <c r="A59" s="9"/>
      <c r="B59" s="9"/>
      <c r="C59" s="20"/>
      <c r="D59" s="17"/>
      <c r="E59" s="9"/>
      <c r="F59" s="6"/>
    </row>
    <row r="60" spans="1:6" ht="11.25">
      <c r="A60" s="3" t="s">
        <v>82</v>
      </c>
      <c r="B60" s="14"/>
      <c r="C60" s="18"/>
      <c r="D60" s="18"/>
      <c r="E60" s="12" t="s">
        <v>45</v>
      </c>
      <c r="F60" s="4"/>
    </row>
    <row r="61" spans="1:6" ht="11.25">
      <c r="A61" s="5"/>
      <c r="B61" s="9"/>
      <c r="C61" s="20"/>
      <c r="D61" s="17"/>
      <c r="E61" s="9"/>
      <c r="F61" s="6"/>
    </row>
    <row r="62" spans="1:6" ht="11.25">
      <c r="A62" s="3" t="s">
        <v>59</v>
      </c>
      <c r="B62" s="11"/>
      <c r="C62" s="26"/>
      <c r="D62" s="16"/>
      <c r="E62" s="3" t="s">
        <v>45</v>
      </c>
      <c r="F62" s="4"/>
    </row>
    <row r="63" spans="1:6" ht="11.25">
      <c r="A63" s="5"/>
      <c r="B63" s="9"/>
      <c r="C63" s="20"/>
      <c r="D63" s="17"/>
      <c r="E63" s="9"/>
      <c r="F63" s="6"/>
    </row>
    <row r="64" spans="1:6" ht="11.25">
      <c r="A64" s="3" t="s">
        <v>27</v>
      </c>
      <c r="B64" s="21"/>
      <c r="C64" s="22"/>
      <c r="D64" s="22"/>
      <c r="E64" s="11"/>
      <c r="F64" s="4"/>
    </row>
    <row r="65" spans="1:6" ht="11.25">
      <c r="A65" s="5"/>
      <c r="B65" s="9"/>
      <c r="C65" s="20"/>
      <c r="D65" s="17"/>
      <c r="E65" s="9"/>
      <c r="F65" s="6"/>
    </row>
    <row r="66" spans="1:6" ht="11.25">
      <c r="A66" s="3" t="s">
        <v>56</v>
      </c>
      <c r="B66" s="21"/>
      <c r="C66" s="22" t="s">
        <v>55</v>
      </c>
      <c r="D66" s="22"/>
      <c r="E66" s="3" t="s">
        <v>45</v>
      </c>
      <c r="F66" s="4"/>
    </row>
    <row r="67" spans="1:6" ht="11.25">
      <c r="A67" s="5" t="s">
        <v>62</v>
      </c>
      <c r="B67" s="23"/>
      <c r="C67" s="25"/>
      <c r="D67" s="24"/>
      <c r="E67" s="5" t="s">
        <v>45</v>
      </c>
      <c r="F67" s="6"/>
    </row>
  </sheetData>
  <sheetProtection/>
  <printOptions/>
  <pageMargins left="0.32" right="0.11811023622047245" top="0.35433070866141736" bottom="0.2755905511811024" header="0.15748031496062992" footer="0.15748031496062992"/>
  <pageSetup horizontalDpi="600" verticalDpi="600" orientation="portrait" r:id="rId2"/>
  <headerFooter>
    <oddHeader>&amp;CIPOTESI PRELIMINARI, AD USO INTERNO&amp;R&amp;F,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H61" sqref="H61"/>
    </sheetView>
  </sheetViews>
  <sheetFormatPr defaultColWidth="9.33203125" defaultRowHeight="11.25"/>
  <cols>
    <col min="1" max="1" width="61.83203125" style="1" customWidth="1"/>
    <col min="2" max="2" width="13.33203125" style="1" customWidth="1"/>
    <col min="3" max="3" width="11.5" style="1" customWidth="1"/>
    <col min="4" max="4" width="10.66015625" style="1" customWidth="1"/>
    <col min="5" max="7" width="9.33203125" style="1" customWidth="1"/>
    <col min="8" max="8" width="10.16015625" style="1" bestFit="1" customWidth="1"/>
    <col min="9" max="16384" width="9.33203125" style="1" customWidth="1"/>
  </cols>
  <sheetData>
    <row r="1" spans="1:7" ht="11.25">
      <c r="A1" s="32"/>
      <c r="B1" s="33"/>
      <c r="C1" s="33"/>
      <c r="D1" s="33"/>
      <c r="E1" s="33"/>
      <c r="F1" s="33"/>
      <c r="G1" s="33"/>
    </row>
    <row r="2" spans="1:7" ht="11.25">
      <c r="A2" s="66" t="s">
        <v>73</v>
      </c>
      <c r="B2" s="28"/>
      <c r="C2" s="28"/>
      <c r="D2" s="28"/>
      <c r="E2" s="28"/>
      <c r="F2" s="28"/>
      <c r="G2" s="30"/>
    </row>
    <row r="3" spans="1:7" ht="11.25">
      <c r="A3" s="68" t="s">
        <v>31</v>
      </c>
      <c r="B3" s="31">
        <v>45</v>
      </c>
      <c r="C3" s="33" t="s">
        <v>0</v>
      </c>
      <c r="D3" s="32"/>
      <c r="E3" s="33"/>
      <c r="F3" s="33"/>
      <c r="G3" s="4"/>
    </row>
    <row r="4" spans="1:7" ht="11.25">
      <c r="A4" s="68" t="s">
        <v>63</v>
      </c>
      <c r="B4" s="31">
        <v>30</v>
      </c>
      <c r="C4" s="32" t="s">
        <v>20</v>
      </c>
      <c r="D4" s="33"/>
      <c r="E4" s="33"/>
      <c r="F4" s="33"/>
      <c r="G4" s="4"/>
    </row>
    <row r="5" spans="1:7" ht="11.25">
      <c r="A5" s="11" t="s">
        <v>12</v>
      </c>
      <c r="B5" s="34">
        <v>0.08</v>
      </c>
      <c r="C5" s="33" t="s">
        <v>11</v>
      </c>
      <c r="D5" s="33"/>
      <c r="E5" s="33"/>
      <c r="F5" s="33"/>
      <c r="G5" s="35"/>
    </row>
    <row r="6" spans="1:7" ht="11.25">
      <c r="A6" s="69" t="s">
        <v>67</v>
      </c>
      <c r="B6" s="36">
        <f>+B3*B5</f>
        <v>3.6</v>
      </c>
      <c r="C6" s="37" t="s">
        <v>0</v>
      </c>
      <c r="D6" s="37"/>
      <c r="E6" s="37"/>
      <c r="F6" s="37"/>
      <c r="G6" s="6"/>
    </row>
    <row r="7" spans="1:7" ht="11.25">
      <c r="A7" s="66" t="s">
        <v>72</v>
      </c>
      <c r="B7" s="53"/>
      <c r="C7" s="28"/>
      <c r="D7" s="28"/>
      <c r="E7" s="28"/>
      <c r="F7" s="28"/>
      <c r="G7" s="30"/>
    </row>
    <row r="8" spans="1:7" ht="11.25">
      <c r="A8" s="68" t="s">
        <v>80</v>
      </c>
      <c r="B8" s="31">
        <v>0.5</v>
      </c>
      <c r="C8" s="33" t="s">
        <v>9</v>
      </c>
      <c r="D8" s="33"/>
      <c r="E8" s="33"/>
      <c r="F8" s="33"/>
      <c r="G8" s="4"/>
    </row>
    <row r="9" spans="1:7" ht="11.25">
      <c r="A9" s="68" t="s">
        <v>84</v>
      </c>
      <c r="B9" s="31">
        <v>60</v>
      </c>
      <c r="C9" s="32"/>
      <c r="D9" s="32" t="s">
        <v>71</v>
      </c>
      <c r="E9" s="33"/>
      <c r="F9" s="33"/>
      <c r="G9" s="4"/>
    </row>
    <row r="10" spans="1:7" ht="11.25">
      <c r="A10" s="68" t="s">
        <v>77</v>
      </c>
      <c r="B10" s="38">
        <v>300</v>
      </c>
      <c r="C10" s="32" t="s">
        <v>68</v>
      </c>
      <c r="D10" s="32" t="s">
        <v>64</v>
      </c>
      <c r="E10" s="33"/>
      <c r="F10" s="33"/>
      <c r="G10" s="4"/>
    </row>
    <row r="11" spans="1:7" ht="11.25">
      <c r="A11" s="68" t="s">
        <v>65</v>
      </c>
      <c r="B11" s="38">
        <f>+(3.14159/4*B8^2)*B10/9.81</f>
        <v>6.004568042813455</v>
      </c>
      <c r="C11" s="2" t="s">
        <v>21</v>
      </c>
      <c r="D11" s="32"/>
      <c r="E11" s="33"/>
      <c r="F11" s="33"/>
      <c r="G11" s="4"/>
    </row>
    <row r="12" spans="1:7" ht="11.25">
      <c r="A12" s="11" t="s">
        <v>13</v>
      </c>
      <c r="B12" s="49">
        <f>+B11*1000/B4</f>
        <v>200.15226809378183</v>
      </c>
      <c r="C12" s="33" t="s">
        <v>9</v>
      </c>
      <c r="D12" s="32" t="s">
        <v>66</v>
      </c>
      <c r="E12" s="33"/>
      <c r="F12" s="33"/>
      <c r="G12" s="35"/>
    </row>
    <row r="13" spans="1:7" ht="11.25">
      <c r="A13" s="11" t="s">
        <v>14</v>
      </c>
      <c r="B13" s="38">
        <f>1000/B12</f>
        <v>4.996196193647167</v>
      </c>
      <c r="C13" s="33" t="s">
        <v>8</v>
      </c>
      <c r="D13" s="33"/>
      <c r="E13" s="33"/>
      <c r="F13" s="33"/>
      <c r="G13" s="4"/>
    </row>
    <row r="14" spans="1:7" ht="11.25">
      <c r="A14" s="11" t="s">
        <v>15</v>
      </c>
      <c r="B14" s="38">
        <f>+B13*B6</f>
        <v>17.9863062971298</v>
      </c>
      <c r="C14" s="33" t="s">
        <v>8</v>
      </c>
      <c r="D14" s="33"/>
      <c r="E14" s="33"/>
      <c r="F14" s="33"/>
      <c r="G14" s="35"/>
    </row>
    <row r="15" spans="1:7" ht="11.25">
      <c r="A15" s="68" t="s">
        <v>34</v>
      </c>
      <c r="B15" s="38">
        <f>+B8^2/4*3.14159*B14*6.45/10^3</f>
        <v>0.02277882</v>
      </c>
      <c r="C15" s="38" t="s">
        <v>21</v>
      </c>
      <c r="D15" s="38"/>
      <c r="E15" s="33"/>
      <c r="F15" s="33"/>
      <c r="G15" s="4"/>
    </row>
    <row r="16" spans="1:7" ht="11.25">
      <c r="A16" s="68" t="s">
        <v>35</v>
      </c>
      <c r="B16" s="38">
        <f>+B15/B6*1000</f>
        <v>6.32745</v>
      </c>
      <c r="C16" s="38" t="s">
        <v>33</v>
      </c>
      <c r="D16" s="38"/>
      <c r="E16" s="33"/>
      <c r="F16" s="33"/>
      <c r="G16" s="4"/>
    </row>
    <row r="17" spans="1:7" ht="11.25">
      <c r="A17" s="68" t="s">
        <v>10</v>
      </c>
      <c r="B17" s="40">
        <f>+B14*3.14159*B8/1000</f>
        <v>0.028252800000000005</v>
      </c>
      <c r="C17" s="38" t="s">
        <v>0</v>
      </c>
      <c r="D17" s="38"/>
      <c r="E17" s="33"/>
      <c r="F17" s="33"/>
      <c r="G17" s="4"/>
    </row>
    <row r="18" spans="1:7" ht="11.25">
      <c r="A18" s="69" t="s">
        <v>78</v>
      </c>
      <c r="B18" s="48">
        <f>+B17/B6</f>
        <v>0.007848</v>
      </c>
      <c r="C18" s="70" t="s">
        <v>11</v>
      </c>
      <c r="D18" s="37"/>
      <c r="E18" s="37"/>
      <c r="F18" s="37"/>
      <c r="G18" s="6"/>
    </row>
    <row r="19" spans="1:7" ht="11.25">
      <c r="A19" s="66" t="s">
        <v>76</v>
      </c>
      <c r="B19" s="54"/>
      <c r="C19" s="28"/>
      <c r="D19" s="28"/>
      <c r="E19" s="28"/>
      <c r="F19" s="28"/>
      <c r="G19" s="30"/>
    </row>
    <row r="20" spans="1:7" ht="11.25">
      <c r="A20" s="68" t="s">
        <v>81</v>
      </c>
      <c r="B20" s="50">
        <v>0.9</v>
      </c>
      <c r="C20" s="33" t="s">
        <v>11</v>
      </c>
      <c r="D20" s="32" t="s">
        <v>83</v>
      </c>
      <c r="E20" s="33"/>
      <c r="F20" s="33"/>
      <c r="G20" s="4"/>
    </row>
    <row r="21" spans="1:7" ht="11.25">
      <c r="A21" s="68" t="s">
        <v>36</v>
      </c>
      <c r="B21" s="40">
        <f>+B17*B20</f>
        <v>0.025427520000000006</v>
      </c>
      <c r="C21" s="33" t="s">
        <v>0</v>
      </c>
      <c r="D21" s="33"/>
      <c r="E21" s="33"/>
      <c r="F21" s="33"/>
      <c r="G21" s="4"/>
    </row>
    <row r="22" spans="1:7" ht="11.25">
      <c r="A22" s="68" t="s">
        <v>37</v>
      </c>
      <c r="B22" s="41">
        <v>1</v>
      </c>
      <c r="C22" s="2" t="s">
        <v>11</v>
      </c>
      <c r="D22" s="32" t="s">
        <v>85</v>
      </c>
      <c r="E22" s="33"/>
      <c r="F22" s="33"/>
      <c r="G22" s="4"/>
    </row>
    <row r="23" spans="1:7" ht="11.25">
      <c r="A23" s="68" t="s">
        <v>79</v>
      </c>
      <c r="B23" s="51">
        <f>+B21*B22</f>
        <v>0.025427520000000006</v>
      </c>
      <c r="C23" s="2" t="s">
        <v>0</v>
      </c>
      <c r="D23" s="33"/>
      <c r="E23" s="33"/>
      <c r="F23" s="33"/>
      <c r="G23" s="4"/>
    </row>
    <row r="24" spans="1:7" ht="11.25">
      <c r="A24" s="11"/>
      <c r="B24" s="42"/>
      <c r="C24" s="33"/>
      <c r="D24" s="33"/>
      <c r="E24" s="33"/>
      <c r="F24" s="33"/>
      <c r="G24" s="4"/>
    </row>
    <row r="25" spans="1:7" ht="11.25">
      <c r="A25" s="68" t="s">
        <v>50</v>
      </c>
      <c r="B25" s="32">
        <f>1.57*10^-5</f>
        <v>1.5700000000000002E-05</v>
      </c>
      <c r="C25" s="33"/>
      <c r="D25" s="32" t="s">
        <v>40</v>
      </c>
      <c r="E25" s="33"/>
      <c r="F25" s="33"/>
      <c r="G25" s="4"/>
    </row>
    <row r="26" spans="1:7" ht="11.25">
      <c r="A26" s="11" t="s">
        <v>29</v>
      </c>
      <c r="B26" s="32">
        <v>0.0261</v>
      </c>
      <c r="C26" s="33"/>
      <c r="D26" s="33"/>
      <c r="E26" s="33"/>
      <c r="F26" s="33"/>
      <c r="G26" s="4"/>
    </row>
    <row r="27" spans="1:8" ht="11.25">
      <c r="A27" s="68" t="s">
        <v>51</v>
      </c>
      <c r="B27" s="39">
        <v>0.71</v>
      </c>
      <c r="C27" s="33"/>
      <c r="D27" s="33"/>
      <c r="E27" s="33"/>
      <c r="F27" s="33"/>
      <c r="G27" s="4"/>
      <c r="H27"/>
    </row>
    <row r="28" spans="1:8" ht="11.25">
      <c r="A28" s="68" t="s">
        <v>58</v>
      </c>
      <c r="B28" s="42">
        <f>0.666666666666667*(2/3*B3)^0.5</f>
        <v>3.651483716701109</v>
      </c>
      <c r="C28" s="32" t="s">
        <v>8</v>
      </c>
      <c r="D28" s="42">
        <f>0.666666666666667*(2/3*D3)^0.5</f>
        <v>0</v>
      </c>
      <c r="E28" s="42"/>
      <c r="F28" s="33"/>
      <c r="G28" s="35"/>
      <c r="H28"/>
    </row>
    <row r="29" spans="1:11" ht="11.25">
      <c r="A29" s="68" t="s">
        <v>52</v>
      </c>
      <c r="B29" s="43">
        <f>+B39*B28/B25</f>
        <v>2325785.8068159926</v>
      </c>
      <c r="C29" s="33"/>
      <c r="D29" s="33"/>
      <c r="E29" s="33"/>
      <c r="F29" s="33"/>
      <c r="G29" s="4"/>
      <c r="I29"/>
      <c r="J29"/>
      <c r="K29"/>
    </row>
    <row r="30" spans="1:8" ht="11.25">
      <c r="A30" s="68" t="s">
        <v>53</v>
      </c>
      <c r="B30" s="44" t="s">
        <v>32</v>
      </c>
      <c r="C30" s="33"/>
      <c r="D30" s="33"/>
      <c r="E30" s="33"/>
      <c r="F30" s="33"/>
      <c r="G30" s="4"/>
      <c r="H30"/>
    </row>
    <row r="31" spans="1:7" ht="11.25">
      <c r="A31" s="68" t="s">
        <v>28</v>
      </c>
      <c r="B31" s="42">
        <f>IF(B29&lt;500000,0.664*B29^(1/2)*B27^(1/3),0.037*B29^(4/5)*B27^(1/3))</f>
        <v>4091.447156330115</v>
      </c>
      <c r="C31" s="33"/>
      <c r="D31" s="33"/>
      <c r="E31" s="33"/>
      <c r="F31" s="33"/>
      <c r="G31" s="4"/>
    </row>
    <row r="32" spans="1:7" ht="11.25">
      <c r="A32" s="68" t="s">
        <v>54</v>
      </c>
      <c r="B32" s="42">
        <f>+B31*B26/B28</f>
        <v>29.244761599728914</v>
      </c>
      <c r="C32" s="32" t="s">
        <v>30</v>
      </c>
      <c r="D32" s="33"/>
      <c r="E32" s="33"/>
      <c r="F32" s="33"/>
      <c r="G32" s="4"/>
    </row>
    <row r="33" spans="1:7" ht="11.25">
      <c r="A33" s="11" t="s">
        <v>18</v>
      </c>
      <c r="B33" s="52">
        <f>+B32/1.136</f>
        <v>25.743628168775455</v>
      </c>
      <c r="C33" s="33" t="s">
        <v>4</v>
      </c>
      <c r="D33" s="33"/>
      <c r="E33" s="33"/>
      <c r="F33" s="33"/>
      <c r="G33" s="4"/>
    </row>
    <row r="34" spans="1:7" ht="11.25">
      <c r="A34" s="11"/>
      <c r="B34" s="42"/>
      <c r="C34" s="33"/>
      <c r="D34" s="33"/>
      <c r="E34" s="33"/>
      <c r="F34" s="33"/>
      <c r="G34" s="4"/>
    </row>
    <row r="35" spans="1:7" ht="11.25">
      <c r="A35" s="68" t="s">
        <v>41</v>
      </c>
      <c r="B35" s="47">
        <v>0.025</v>
      </c>
      <c r="C35" s="32" t="s">
        <v>9</v>
      </c>
      <c r="D35" s="32" t="s">
        <v>69</v>
      </c>
      <c r="E35" s="33"/>
      <c r="F35" s="33"/>
      <c r="G35" s="4"/>
    </row>
    <row r="36" spans="1:7" ht="11.25">
      <c r="A36" s="11" t="s">
        <v>19</v>
      </c>
      <c r="B36" s="60">
        <v>0.5</v>
      </c>
      <c r="C36" s="33" t="s">
        <v>17</v>
      </c>
      <c r="D36" s="32" t="s">
        <v>70</v>
      </c>
      <c r="E36" s="33"/>
      <c r="F36" s="33"/>
      <c r="G36" s="4"/>
    </row>
    <row r="37" spans="1:7" ht="11.25">
      <c r="A37" s="9" t="s">
        <v>16</v>
      </c>
      <c r="B37" s="55">
        <f>+B36/(B35/1000)</f>
        <v>20000</v>
      </c>
      <c r="C37" s="37" t="s">
        <v>4</v>
      </c>
      <c r="D37" s="70"/>
      <c r="E37" s="37"/>
      <c r="F37" s="37"/>
      <c r="G37" s="6"/>
    </row>
    <row r="38" spans="1:7" ht="11.25">
      <c r="A38" s="66" t="s">
        <v>74</v>
      </c>
      <c r="B38" s="56"/>
      <c r="C38" s="28"/>
      <c r="D38" s="67"/>
      <c r="E38" s="28"/>
      <c r="F38" s="28"/>
      <c r="G38" s="30"/>
    </row>
    <row r="39" spans="1:7" ht="11.25">
      <c r="A39" s="68" t="s">
        <v>49</v>
      </c>
      <c r="B39" s="31">
        <v>10</v>
      </c>
      <c r="C39" s="33" t="s">
        <v>1</v>
      </c>
      <c r="D39" s="33"/>
      <c r="E39" s="33"/>
      <c r="F39" s="33"/>
      <c r="G39" s="4"/>
    </row>
    <row r="40" spans="1:7" ht="11.25">
      <c r="A40" s="9" t="s">
        <v>3</v>
      </c>
      <c r="B40" s="46">
        <v>20</v>
      </c>
      <c r="C40" s="37" t="s">
        <v>2</v>
      </c>
      <c r="D40" s="37"/>
      <c r="E40" s="37"/>
      <c r="F40" s="37"/>
      <c r="G40" s="6"/>
    </row>
    <row r="41" spans="1:7" ht="11.25">
      <c r="A41" s="57" t="s">
        <v>75</v>
      </c>
      <c r="B41" s="58"/>
      <c r="C41" s="28"/>
      <c r="D41" s="28"/>
      <c r="E41" s="28"/>
      <c r="F41" s="28"/>
      <c r="G41" s="30"/>
    </row>
    <row r="42" spans="1:7" ht="12" thickBot="1">
      <c r="A42" s="11" t="s">
        <v>6</v>
      </c>
      <c r="B42" s="39">
        <f>+(B37*B9+B33*B40)/(B37+B33)</f>
        <v>59.948578931905296</v>
      </c>
      <c r="C42" s="33" t="s">
        <v>2</v>
      </c>
      <c r="D42" s="32" t="s">
        <v>39</v>
      </c>
      <c r="E42" s="33"/>
      <c r="F42" s="33"/>
      <c r="G42" s="4"/>
    </row>
    <row r="43" spans="1:7" ht="12.75" thickBot="1" thickTop="1">
      <c r="A43" s="68" t="s">
        <v>61</v>
      </c>
      <c r="B43" s="61">
        <f>+B33*(B42-B40)*B23</f>
        <v>26.150204747985576</v>
      </c>
      <c r="C43" s="33" t="s">
        <v>5</v>
      </c>
      <c r="D43" s="32" t="s">
        <v>38</v>
      </c>
      <c r="E43" s="33"/>
      <c r="F43" s="33"/>
      <c r="G43" s="4"/>
    </row>
    <row r="44" spans="1:7" ht="12" thickTop="1">
      <c r="A44" s="9" t="s">
        <v>7</v>
      </c>
      <c r="B44" s="59">
        <f>+B37*(B9-B42)*B23</f>
        <v>26.150204747989207</v>
      </c>
      <c r="C44" s="37" t="s">
        <v>5</v>
      </c>
      <c r="D44" s="37"/>
      <c r="E44" s="37"/>
      <c r="F44" s="37"/>
      <c r="G44" s="6"/>
    </row>
    <row r="45" spans="1:7" ht="11.25">
      <c r="A45" s="33"/>
      <c r="B45" s="33"/>
      <c r="C45" s="33"/>
      <c r="D45" s="33"/>
      <c r="E45" s="33"/>
      <c r="F45" s="33"/>
      <c r="G45" s="33"/>
    </row>
    <row r="47" spans="1:6" ht="11.25">
      <c r="A47" s="7" t="s">
        <v>48</v>
      </c>
      <c r="B47" s="13"/>
      <c r="C47" s="19" t="s">
        <v>23</v>
      </c>
      <c r="D47" s="15"/>
      <c r="E47" s="10" t="s">
        <v>42</v>
      </c>
      <c r="F47" s="8"/>
    </row>
    <row r="48" spans="1:6" ht="11.25">
      <c r="A48" s="68" t="s">
        <v>60</v>
      </c>
      <c r="B48" s="11">
        <v>0.2</v>
      </c>
      <c r="C48" s="16">
        <v>3.7</v>
      </c>
      <c r="D48" s="16"/>
      <c r="E48" s="68" t="s">
        <v>43</v>
      </c>
      <c r="F48" s="4"/>
    </row>
    <row r="49" spans="1:6" ht="11.25">
      <c r="A49" s="9"/>
      <c r="B49" s="9">
        <v>25</v>
      </c>
      <c r="C49" s="20">
        <v>26</v>
      </c>
      <c r="D49" s="17"/>
      <c r="E49" s="9"/>
      <c r="F49" s="6"/>
    </row>
    <row r="50" spans="1:6" ht="11.25">
      <c r="A50" s="68" t="s">
        <v>22</v>
      </c>
      <c r="B50" s="11">
        <v>0.0001</v>
      </c>
      <c r="C50" s="16">
        <v>0.025</v>
      </c>
      <c r="D50" s="71">
        <v>0.5</v>
      </c>
      <c r="E50" s="68" t="s">
        <v>47</v>
      </c>
      <c r="F50" s="4"/>
    </row>
    <row r="51" spans="1:6" ht="11.25">
      <c r="A51" s="9"/>
      <c r="B51" s="9">
        <v>26</v>
      </c>
      <c r="C51" s="20">
        <v>26</v>
      </c>
      <c r="D51" s="17">
        <v>26</v>
      </c>
      <c r="E51" s="9"/>
      <c r="F51" s="6"/>
    </row>
    <row r="52" spans="1:6" ht="11.25">
      <c r="A52" s="68" t="s">
        <v>57</v>
      </c>
      <c r="B52" s="11">
        <v>1</v>
      </c>
      <c r="C52" s="16">
        <v>0.5</v>
      </c>
      <c r="D52" s="16">
        <v>0.25</v>
      </c>
      <c r="E52" s="68" t="s">
        <v>44</v>
      </c>
      <c r="F52" s="4"/>
    </row>
    <row r="53" spans="1:6" ht="11.25">
      <c r="A53" s="9"/>
      <c r="B53" s="9">
        <v>26</v>
      </c>
      <c r="C53" s="20">
        <v>26</v>
      </c>
      <c r="D53" s="17">
        <v>26</v>
      </c>
      <c r="E53" s="69"/>
      <c r="F53" s="6"/>
    </row>
    <row r="54" spans="1:6" ht="11.25">
      <c r="A54" s="68" t="s">
        <v>24</v>
      </c>
      <c r="B54" s="11">
        <v>15</v>
      </c>
      <c r="C54" s="16">
        <v>10</v>
      </c>
      <c r="D54" s="16">
        <v>5</v>
      </c>
      <c r="E54" s="68" t="s">
        <v>45</v>
      </c>
      <c r="F54" s="4"/>
    </row>
    <row r="55" spans="1:6" ht="11.25">
      <c r="A55" s="9"/>
      <c r="B55" s="9">
        <v>36</v>
      </c>
      <c r="C55" s="20">
        <v>26</v>
      </c>
      <c r="D55" s="17">
        <v>15</v>
      </c>
      <c r="E55" s="9"/>
      <c r="F55" s="6"/>
    </row>
    <row r="56" spans="1:6" ht="11.25">
      <c r="A56" s="68" t="s">
        <v>25</v>
      </c>
      <c r="B56" s="11">
        <v>80</v>
      </c>
      <c r="C56" s="16">
        <v>60</v>
      </c>
      <c r="D56" s="16">
        <v>50</v>
      </c>
      <c r="E56" s="68" t="s">
        <v>45</v>
      </c>
      <c r="F56" s="4"/>
    </row>
    <row r="57" spans="1:6" ht="11.25">
      <c r="A57" s="9"/>
      <c r="B57" s="9">
        <v>39</v>
      </c>
      <c r="C57" s="20">
        <v>26</v>
      </c>
      <c r="D57" s="17">
        <v>20</v>
      </c>
      <c r="E57" s="9"/>
      <c r="F57" s="6"/>
    </row>
    <row r="58" spans="1:6" ht="11.25">
      <c r="A58" s="68" t="s">
        <v>26</v>
      </c>
      <c r="B58" s="11">
        <v>5</v>
      </c>
      <c r="C58" s="16">
        <v>20</v>
      </c>
      <c r="D58" s="16">
        <v>30</v>
      </c>
      <c r="E58" s="68" t="s">
        <v>46</v>
      </c>
      <c r="F58" s="4"/>
    </row>
    <row r="59" spans="1:6" ht="11.25">
      <c r="A59" s="9"/>
      <c r="B59" s="9">
        <v>36</v>
      </c>
      <c r="C59" s="20">
        <v>26</v>
      </c>
      <c r="D59" s="17">
        <v>20</v>
      </c>
      <c r="E59" s="9"/>
      <c r="F59" s="6"/>
    </row>
    <row r="60" spans="1:6" ht="11.25">
      <c r="A60" s="68" t="s">
        <v>106</v>
      </c>
      <c r="B60" s="14" t="s">
        <v>105</v>
      </c>
      <c r="C60" s="18" t="s">
        <v>103</v>
      </c>
      <c r="D60" s="18" t="s">
        <v>104</v>
      </c>
      <c r="E60" s="12" t="s">
        <v>45</v>
      </c>
      <c r="F60" s="4"/>
    </row>
    <row r="61" spans="1:6" ht="11.25">
      <c r="A61" s="69"/>
      <c r="B61" s="9">
        <v>52</v>
      </c>
      <c r="C61" s="20">
        <v>26</v>
      </c>
      <c r="D61" s="17">
        <v>13</v>
      </c>
      <c r="E61" s="9"/>
      <c r="F61" s="6"/>
    </row>
    <row r="62" spans="1:6" ht="11.25">
      <c r="A62" s="68" t="s">
        <v>107</v>
      </c>
      <c r="B62" s="11">
        <v>60</v>
      </c>
      <c r="C62" s="26">
        <v>30</v>
      </c>
      <c r="D62" s="16">
        <v>15</v>
      </c>
      <c r="E62" s="68" t="s">
        <v>45</v>
      </c>
      <c r="F62" s="4"/>
    </row>
    <row r="63" spans="1:6" ht="11.25">
      <c r="A63" s="69"/>
      <c r="B63" s="9">
        <v>52</v>
      </c>
      <c r="C63" s="20">
        <v>26</v>
      </c>
      <c r="D63" s="17">
        <v>13</v>
      </c>
      <c r="E63" s="9"/>
      <c r="F63" s="6"/>
    </row>
    <row r="64" spans="1:6" ht="11.25">
      <c r="A64" s="68" t="s">
        <v>27</v>
      </c>
      <c r="B64" s="21"/>
      <c r="C64" s="22"/>
      <c r="D64" s="22"/>
      <c r="E64" s="11"/>
      <c r="F64" s="4"/>
    </row>
    <row r="65" spans="1:6" ht="11.25">
      <c r="A65" s="69"/>
      <c r="B65" s="9"/>
      <c r="C65" s="20">
        <v>26</v>
      </c>
      <c r="D65" s="17"/>
      <c r="E65" s="9"/>
      <c r="F65" s="6"/>
    </row>
    <row r="66" spans="1:6" ht="11.25">
      <c r="A66" s="68" t="s">
        <v>56</v>
      </c>
      <c r="B66" s="21"/>
      <c r="C66" s="22" t="s">
        <v>55</v>
      </c>
      <c r="D66" s="22"/>
      <c r="E66" s="68" t="s">
        <v>45</v>
      </c>
      <c r="F66" s="4"/>
    </row>
    <row r="67" spans="1:6" ht="11.25">
      <c r="A67" s="69" t="s">
        <v>62</v>
      </c>
      <c r="B67" s="23"/>
      <c r="C67" s="25"/>
      <c r="D67" s="24"/>
      <c r="E67" s="69" t="s">
        <v>45</v>
      </c>
      <c r="F67" s="6"/>
    </row>
  </sheetData>
  <sheetProtection/>
  <printOptions/>
  <pageMargins left="0.32" right="0.11811023622047245" top="0.35433070866141736" bottom="0.2755905511811024" header="0.15748031496062992" footer="0.15748031496062992"/>
  <pageSetup horizontalDpi="600" verticalDpi="600" orientation="portrait" r:id="rId2"/>
  <headerFooter>
    <oddHeader>&amp;CIPOTESI PRELIMINARI, AD USO INTERNO&amp;R&amp;F,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5"/>
  <sheetViews>
    <sheetView zoomScalePageLayoutView="0" workbookViewId="0" topLeftCell="A1">
      <selection activeCell="A4" sqref="A4"/>
    </sheetView>
  </sheetViews>
  <sheetFormatPr defaultColWidth="9.33203125" defaultRowHeight="11.25"/>
  <cols>
    <col min="1" max="1" width="51.5" style="0" customWidth="1"/>
  </cols>
  <sheetData>
    <row r="3" spans="1:3" ht="11.25">
      <c r="A3" t="s">
        <v>102</v>
      </c>
      <c r="B3" t="s">
        <v>5</v>
      </c>
      <c r="C3">
        <v>41</v>
      </c>
    </row>
    <row r="4" spans="1:3" ht="11.25">
      <c r="A4" t="s">
        <v>86</v>
      </c>
      <c r="B4" t="s">
        <v>87</v>
      </c>
      <c r="C4">
        <v>3</v>
      </c>
    </row>
    <row r="5" spans="1:3" ht="11.25">
      <c r="A5" t="s">
        <v>88</v>
      </c>
      <c r="B5" t="s">
        <v>11</v>
      </c>
      <c r="C5" s="63">
        <v>0.3</v>
      </c>
    </row>
    <row r="6" spans="1:3" ht="11.25">
      <c r="A6" t="s">
        <v>89</v>
      </c>
      <c r="B6" t="s">
        <v>11</v>
      </c>
      <c r="C6" s="63">
        <v>0.1</v>
      </c>
    </row>
    <row r="7" spans="1:3" ht="11.25">
      <c r="A7" t="s">
        <v>90</v>
      </c>
      <c r="B7" t="s">
        <v>11</v>
      </c>
      <c r="C7" s="63">
        <v>0.01</v>
      </c>
    </row>
    <row r="8" spans="1:3" ht="11.25">
      <c r="A8" t="s">
        <v>100</v>
      </c>
      <c r="B8" t="s">
        <v>87</v>
      </c>
      <c r="C8" s="64">
        <f>+(C5*1+C6*0.5+C7*2)*C4</f>
        <v>1.1099999999999999</v>
      </c>
    </row>
    <row r="9" spans="1:3" ht="11.25">
      <c r="A9" t="s">
        <v>95</v>
      </c>
      <c r="B9" t="s">
        <v>93</v>
      </c>
      <c r="C9" s="65">
        <f>+C3*C8</f>
        <v>45.51</v>
      </c>
    </row>
    <row r="10" spans="1:3" ht="11.25">
      <c r="A10" t="s">
        <v>94</v>
      </c>
      <c r="B10" t="s">
        <v>11</v>
      </c>
      <c r="C10" s="63">
        <v>0.1</v>
      </c>
    </row>
    <row r="11" spans="1:3" ht="11.25">
      <c r="A11" t="s">
        <v>96</v>
      </c>
      <c r="B11" t="s">
        <v>93</v>
      </c>
      <c r="C11">
        <f>+C9*(1+C10)</f>
        <v>50.061</v>
      </c>
    </row>
    <row r="12" spans="1:3" ht="11.25">
      <c r="A12" t="s">
        <v>92</v>
      </c>
      <c r="B12" t="s">
        <v>91</v>
      </c>
      <c r="C12">
        <v>80</v>
      </c>
    </row>
    <row r="13" spans="1:3" ht="11.25">
      <c r="A13" t="s">
        <v>97</v>
      </c>
      <c r="B13" t="s">
        <v>11</v>
      </c>
      <c r="C13" s="63">
        <v>0.05</v>
      </c>
    </row>
    <row r="14" spans="1:3" ht="11.25">
      <c r="A14" t="s">
        <v>99</v>
      </c>
      <c r="B14" t="s">
        <v>93</v>
      </c>
      <c r="C14" s="62">
        <f>+C12/(1+C13/100)</f>
        <v>79.96001999000501</v>
      </c>
    </row>
    <row r="15" spans="1:3" ht="11.25">
      <c r="A15" t="s">
        <v>98</v>
      </c>
      <c r="B15" t="s">
        <v>101</v>
      </c>
      <c r="C15" s="62">
        <f>+C14/C11</f>
        <v>1.5972517526618528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K29" sqref="K29"/>
    </sheetView>
  </sheetViews>
  <sheetFormatPr defaultColWidth="9.33203125" defaultRowHeight="11.25"/>
  <cols>
    <col min="1" max="1" width="66.16015625" style="1" customWidth="1"/>
    <col min="2" max="2" width="13.33203125" style="72" customWidth="1"/>
    <col min="3" max="3" width="11.5" style="1" customWidth="1"/>
    <col min="4" max="4" width="10.66015625" style="1" customWidth="1"/>
    <col min="5" max="7" width="9.33203125" style="1" customWidth="1"/>
    <col min="8" max="10" width="5.5" style="1" customWidth="1"/>
    <col min="11" max="11" width="7.66015625" style="1" customWidth="1"/>
    <col min="12" max="12" width="5.5" style="1" customWidth="1"/>
    <col min="13" max="13" width="5" style="1" customWidth="1"/>
    <col min="14" max="14" width="5.5" style="1" customWidth="1"/>
    <col min="15" max="17" width="9.33203125" style="1" customWidth="1"/>
    <col min="18" max="18" width="6.5" style="1" customWidth="1"/>
    <col min="19" max="16384" width="9.33203125" style="1" customWidth="1"/>
  </cols>
  <sheetData>
    <row r="1" ht="11.25">
      <c r="A1" t="s">
        <v>109</v>
      </c>
    </row>
    <row r="2" spans="1:7" ht="11.25">
      <c r="A2" s="66" t="s">
        <v>31</v>
      </c>
      <c r="B2" s="73">
        <v>1</v>
      </c>
      <c r="C2" s="28" t="s">
        <v>0</v>
      </c>
      <c r="D2" s="67"/>
      <c r="E2" s="28"/>
      <c r="F2" s="28"/>
      <c r="G2" s="30"/>
    </row>
    <row r="3" spans="1:7" ht="11.25">
      <c r="A3" s="68" t="s">
        <v>63</v>
      </c>
      <c r="B3" s="74">
        <v>500</v>
      </c>
      <c r="C3" s="32" t="s">
        <v>20</v>
      </c>
      <c r="D3" s="33"/>
      <c r="E3" s="33"/>
      <c r="F3" s="33"/>
      <c r="G3" s="4"/>
    </row>
    <row r="4" spans="1:7" ht="11.25">
      <c r="A4" s="11" t="s">
        <v>12</v>
      </c>
      <c r="B4" s="75">
        <v>1</v>
      </c>
      <c r="C4" s="33" t="s">
        <v>11</v>
      </c>
      <c r="D4" s="33"/>
      <c r="E4" s="33"/>
      <c r="F4" s="33"/>
      <c r="G4" s="35"/>
    </row>
    <row r="5" spans="1:7" ht="11.25">
      <c r="A5" s="69" t="s">
        <v>67</v>
      </c>
      <c r="B5" s="76">
        <v>1</v>
      </c>
      <c r="C5" s="37" t="s">
        <v>0</v>
      </c>
      <c r="D5" s="37"/>
      <c r="E5" s="37"/>
      <c r="F5" s="37"/>
      <c r="G5" s="6"/>
    </row>
    <row r="6" spans="1:7" ht="11.25">
      <c r="A6" s="77" t="s">
        <v>110</v>
      </c>
      <c r="B6" s="73">
        <v>0.5</v>
      </c>
      <c r="C6" s="28" t="s">
        <v>9</v>
      </c>
      <c r="D6" s="28"/>
      <c r="E6" s="28"/>
      <c r="F6" s="28"/>
      <c r="G6" s="30"/>
    </row>
    <row r="7" spans="1:7" ht="11.25">
      <c r="A7" s="68" t="s">
        <v>111</v>
      </c>
      <c r="B7" s="74">
        <v>60</v>
      </c>
      <c r="C7" s="32"/>
      <c r="D7" s="32" t="s">
        <v>71</v>
      </c>
      <c r="E7" s="33"/>
      <c r="F7" s="33"/>
      <c r="G7" s="4"/>
    </row>
    <row r="8" spans="1:7" ht="11.25">
      <c r="A8" s="11" t="s">
        <v>112</v>
      </c>
      <c r="B8" s="78">
        <v>300</v>
      </c>
      <c r="C8" s="32" t="s">
        <v>68</v>
      </c>
      <c r="D8" s="32" t="s">
        <v>64</v>
      </c>
      <c r="E8" s="33"/>
      <c r="F8" s="33"/>
      <c r="G8" s="4"/>
    </row>
    <row r="9" spans="1:7" ht="11.25">
      <c r="A9" s="68" t="s">
        <v>65</v>
      </c>
      <c r="B9" s="78">
        <v>16.983483124677722</v>
      </c>
      <c r="C9" s="2" t="s">
        <v>21</v>
      </c>
      <c r="D9" s="32"/>
      <c r="E9" s="33"/>
      <c r="F9" s="33"/>
      <c r="G9" s="4"/>
    </row>
    <row r="10" spans="1:12" ht="11.25">
      <c r="A10" s="11" t="s">
        <v>13</v>
      </c>
      <c r="B10" s="79">
        <v>33.966966249355444</v>
      </c>
      <c r="C10" s="33" t="s">
        <v>9</v>
      </c>
      <c r="D10" s="32" t="s">
        <v>66</v>
      </c>
      <c r="E10" s="33"/>
      <c r="F10" s="33"/>
      <c r="G10" s="35"/>
      <c r="H10" t="s">
        <v>113</v>
      </c>
      <c r="I10" s="1">
        <v>60</v>
      </c>
      <c r="K10" t="s">
        <v>114</v>
      </c>
      <c r="L10" s="1">
        <v>20</v>
      </c>
    </row>
    <row r="11" spans="1:7" ht="11.25">
      <c r="A11" s="11" t="s">
        <v>14</v>
      </c>
      <c r="B11" s="78">
        <v>29.440368405552732</v>
      </c>
      <c r="C11" s="33" t="s">
        <v>8</v>
      </c>
      <c r="D11" s="33"/>
      <c r="E11" s="33"/>
      <c r="F11" s="33"/>
      <c r="G11" s="4"/>
    </row>
    <row r="12" spans="1:12" ht="11.25">
      <c r="A12" s="11" t="s">
        <v>15</v>
      </c>
      <c r="B12" s="78">
        <v>29.440368405552732</v>
      </c>
      <c r="C12" s="33" t="s">
        <v>8</v>
      </c>
      <c r="D12" s="33"/>
      <c r="E12" s="33"/>
      <c r="F12" s="33"/>
      <c r="G12" s="35"/>
      <c r="H12" t="s">
        <v>115</v>
      </c>
      <c r="J12" s="80">
        <f>+B10</f>
        <v>33.966966249355444</v>
      </c>
      <c r="K12" t="s">
        <v>116</v>
      </c>
      <c r="L12" s="1">
        <f>+J12/2</f>
        <v>16.983483124677722</v>
      </c>
    </row>
    <row r="13" spans="1:12" ht="11.25">
      <c r="A13" s="68" t="s">
        <v>34</v>
      </c>
      <c r="B13" s="81">
        <v>0.037284856688490166</v>
      </c>
      <c r="C13" s="33" t="s">
        <v>21</v>
      </c>
      <c r="D13" s="33"/>
      <c r="E13" s="33"/>
      <c r="F13" s="33"/>
      <c r="G13" s="4"/>
      <c r="H13" t="s">
        <v>117</v>
      </c>
      <c r="J13" s="1">
        <f>+B6</f>
        <v>0.5</v>
      </c>
      <c r="K13" t="s">
        <v>118</v>
      </c>
      <c r="L13" s="1">
        <f>+J13/2</f>
        <v>0.25</v>
      </c>
    </row>
    <row r="14" spans="1:7" ht="11.25">
      <c r="A14" s="68" t="s">
        <v>35</v>
      </c>
      <c r="B14" s="78">
        <v>37.284856688490166</v>
      </c>
      <c r="C14" s="33" t="s">
        <v>33</v>
      </c>
      <c r="D14" s="33"/>
      <c r="E14" s="33"/>
      <c r="F14" s="33"/>
      <c r="G14" s="4"/>
    </row>
    <row r="15" spans="1:18" ht="11.25">
      <c r="A15" s="9" t="s">
        <v>10</v>
      </c>
      <c r="B15" s="82">
        <v>0.046244783489600205</v>
      </c>
      <c r="C15" s="37" t="s">
        <v>0</v>
      </c>
      <c r="D15" s="37"/>
      <c r="E15" s="37"/>
      <c r="F15" s="37"/>
      <c r="G15" s="6"/>
      <c r="H15" t="s">
        <v>119</v>
      </c>
      <c r="I15" t="s">
        <v>120</v>
      </c>
      <c r="J15" t="s">
        <v>121</v>
      </c>
      <c r="K15" t="s">
        <v>122</v>
      </c>
      <c r="L15" t="s">
        <v>123</v>
      </c>
      <c r="M15" t="s">
        <v>124</v>
      </c>
      <c r="N15" t="s">
        <v>11</v>
      </c>
      <c r="O15" t="s">
        <v>125</v>
      </c>
      <c r="P15" t="s">
        <v>126</v>
      </c>
      <c r="Q15" t="s">
        <v>127</v>
      </c>
      <c r="R15" t="s">
        <v>128</v>
      </c>
    </row>
    <row r="16" spans="1:18" ht="11.25">
      <c r="A16" s="66" t="s">
        <v>129</v>
      </c>
      <c r="B16" s="83">
        <v>0.9</v>
      </c>
      <c r="C16" s="28" t="s">
        <v>11</v>
      </c>
      <c r="D16" s="28"/>
      <c r="E16" s="28"/>
      <c r="F16" s="28"/>
      <c r="G16" s="30"/>
      <c r="H16" s="1">
        <v>0</v>
      </c>
      <c r="I16" s="1">
        <f>+L13</f>
        <v>0.25</v>
      </c>
      <c r="J16" s="1">
        <f aca="true" t="shared" si="0" ref="J16:J21">+(I16+H16)/2</f>
        <v>0.125</v>
      </c>
      <c r="K16" s="1">
        <f aca="true" t="shared" si="1" ref="K16:K21">ATAN(I16/$L$13)</f>
        <v>0.7853981633974483</v>
      </c>
      <c r="L16" s="1">
        <f aca="true" t="shared" si="2" ref="L16:L21">+K16*57</f>
        <v>44.76769531365455</v>
      </c>
      <c r="M16" s="1">
        <f>+L16</f>
        <v>44.76769531365455</v>
      </c>
      <c r="N16" s="84">
        <f aca="true" t="shared" si="3" ref="N16:N22">+M16/90</f>
        <v>0.4974188368183839</v>
      </c>
      <c r="O16" s="1">
        <v>59.33</v>
      </c>
      <c r="P16" s="1">
        <f aca="true" t="shared" si="4" ref="P16:P21">+O16*N16</f>
        <v>29.511859588434714</v>
      </c>
      <c r="Q16" s="1">
        <f aca="true" t="shared" si="5" ref="Q16:Q21">+N16*J16</f>
        <v>0.062177354602297986</v>
      </c>
      <c r="R16" s="1">
        <v>20</v>
      </c>
    </row>
    <row r="17" spans="1:18" ht="11.25">
      <c r="A17" s="68" t="s">
        <v>36</v>
      </c>
      <c r="B17" s="81">
        <v>0.04162030514064018</v>
      </c>
      <c r="C17" s="33" t="s">
        <v>0</v>
      </c>
      <c r="D17" s="33"/>
      <c r="E17" s="33"/>
      <c r="F17" s="33"/>
      <c r="G17" s="4"/>
      <c r="H17" s="1">
        <v>0</v>
      </c>
      <c r="I17" s="1">
        <f>+I16*2</f>
        <v>0.5</v>
      </c>
      <c r="J17" s="1">
        <f t="shared" si="0"/>
        <v>0.25</v>
      </c>
      <c r="K17" s="1">
        <f t="shared" si="1"/>
        <v>1.1071487177940904</v>
      </c>
      <c r="L17" s="1">
        <f t="shared" si="2"/>
        <v>63.10747691426315</v>
      </c>
      <c r="M17" s="1">
        <f>+L17-L16</f>
        <v>18.339781600608603</v>
      </c>
      <c r="N17" s="84">
        <f t="shared" si="3"/>
        <v>0.20377535111787337</v>
      </c>
      <c r="O17" s="1">
        <v>58.73</v>
      </c>
      <c r="P17" s="1">
        <f t="shared" si="4"/>
        <v>11.967726371152702</v>
      </c>
      <c r="Q17" s="1">
        <f t="shared" si="5"/>
        <v>0.05094383777946834</v>
      </c>
      <c r="R17" s="1">
        <v>8</v>
      </c>
    </row>
    <row r="18" spans="1:18" ht="11.25">
      <c r="A18" s="68" t="s">
        <v>37</v>
      </c>
      <c r="B18" s="85">
        <v>0.33</v>
      </c>
      <c r="C18" s="2" t="s">
        <v>11</v>
      </c>
      <c r="D18" s="32" t="s">
        <v>130</v>
      </c>
      <c r="E18" s="33"/>
      <c r="F18" s="33"/>
      <c r="G18" s="4"/>
      <c r="H18" s="1">
        <v>0.5</v>
      </c>
      <c r="I18" s="1">
        <f>+(I17+I19)/2</f>
        <v>4.4958707811694305</v>
      </c>
      <c r="J18" s="1">
        <f t="shared" si="0"/>
        <v>2.4979353905847153</v>
      </c>
      <c r="K18" s="1">
        <f t="shared" si="1"/>
        <v>1.5152469538616025</v>
      </c>
      <c r="L18" s="1">
        <f t="shared" si="2"/>
        <v>86.36907637011134</v>
      </c>
      <c r="M18" s="1">
        <f>+L18-L17</f>
        <v>23.26159945584819</v>
      </c>
      <c r="N18" s="84">
        <f t="shared" si="3"/>
        <v>0.258462216176091</v>
      </c>
      <c r="O18" s="1">
        <v>50.12</v>
      </c>
      <c r="P18" s="1">
        <f t="shared" si="4"/>
        <v>12.954126274745681</v>
      </c>
      <c r="Q18" s="1">
        <f t="shared" si="5"/>
        <v>0.645621916915215</v>
      </c>
      <c r="R18" s="1">
        <v>8</v>
      </c>
    </row>
    <row r="19" spans="1:18" ht="11.25">
      <c r="A19" s="68" t="s">
        <v>131</v>
      </c>
      <c r="B19" s="86">
        <v>0.013734700696411261</v>
      </c>
      <c r="C19" s="2" t="s">
        <v>0</v>
      </c>
      <c r="D19" s="33"/>
      <c r="E19" s="33"/>
      <c r="F19" s="33"/>
      <c r="G19" s="4"/>
      <c r="H19" s="1">
        <v>2.5</v>
      </c>
      <c r="I19" s="1">
        <f>+L12/2</f>
        <v>8.491741562338861</v>
      </c>
      <c r="J19" s="1">
        <f t="shared" si="0"/>
        <v>5.4958707811694305</v>
      </c>
      <c r="K19" s="1">
        <f t="shared" si="1"/>
        <v>1.54136445963755</v>
      </c>
      <c r="L19" s="1">
        <f t="shared" si="2"/>
        <v>87.85777419934035</v>
      </c>
      <c r="M19" s="1">
        <f>+L19-L18</f>
        <v>1.488697829229011</v>
      </c>
      <c r="N19" s="84">
        <f t="shared" si="3"/>
        <v>0.016541086991433456</v>
      </c>
      <c r="O19" s="1">
        <v>43.24</v>
      </c>
      <c r="P19" s="1">
        <f t="shared" si="4"/>
        <v>0.7152366015095827</v>
      </c>
      <c r="Q19" s="1">
        <f t="shared" si="5"/>
        <v>0.0909076766850009</v>
      </c>
      <c r="R19" s="1">
        <v>0</v>
      </c>
    </row>
    <row r="20" spans="1:18" ht="11.25">
      <c r="A20" s="11"/>
      <c r="B20" s="87"/>
      <c r="C20" s="33"/>
      <c r="D20" s="33"/>
      <c r="E20" s="33"/>
      <c r="F20" s="33"/>
      <c r="G20" s="4"/>
      <c r="H20" s="1">
        <v>7.5</v>
      </c>
      <c r="I20" s="1">
        <f>+L12</f>
        <v>16.983483124677722</v>
      </c>
      <c r="J20" s="1">
        <f t="shared" si="0"/>
        <v>12.241741562338861</v>
      </c>
      <c r="K20" s="1">
        <f t="shared" si="1"/>
        <v>1.5560772056625096</v>
      </c>
      <c r="L20" s="1">
        <f t="shared" si="2"/>
        <v>88.69640072276304</v>
      </c>
      <c r="M20" s="1">
        <f>+L20-L19</f>
        <v>0.8386265234226897</v>
      </c>
      <c r="N20" s="84">
        <f t="shared" si="3"/>
        <v>0.00931807248247433</v>
      </c>
      <c r="O20" s="1">
        <v>35.38</v>
      </c>
      <c r="P20" s="1">
        <f t="shared" si="4"/>
        <v>0.3296734044299418</v>
      </c>
      <c r="Q20" s="1">
        <f t="shared" si="5"/>
        <v>0.11406943518959205</v>
      </c>
      <c r="R20" s="1">
        <v>0</v>
      </c>
    </row>
    <row r="21" spans="1:18" ht="11.25">
      <c r="A21" s="68" t="s">
        <v>50</v>
      </c>
      <c r="B21" s="88">
        <v>1.5700000000000002E-05</v>
      </c>
      <c r="C21" s="33"/>
      <c r="D21" s="32" t="s">
        <v>40</v>
      </c>
      <c r="E21" s="33"/>
      <c r="F21" s="33"/>
      <c r="G21" s="4"/>
      <c r="H21" s="1">
        <v>17</v>
      </c>
      <c r="I21" s="80">
        <f>+J12</f>
        <v>33.966966249355444</v>
      </c>
      <c r="J21" s="1">
        <f t="shared" si="0"/>
        <v>25.483483124677722</v>
      </c>
      <c r="K21" s="1">
        <f t="shared" si="1"/>
        <v>1.5634363675902634</v>
      </c>
      <c r="L21" s="1">
        <f t="shared" si="2"/>
        <v>89.11587295264502</v>
      </c>
      <c r="M21" s="1">
        <f>+L21-L20</f>
        <v>0.4194722298819755</v>
      </c>
      <c r="N21" s="84">
        <f t="shared" si="3"/>
        <v>0.004660802554244173</v>
      </c>
      <c r="O21" s="1">
        <v>20</v>
      </c>
      <c r="P21" s="1">
        <f t="shared" si="4"/>
        <v>0.09321605108488346</v>
      </c>
      <c r="Q21" s="1">
        <f t="shared" si="5"/>
        <v>0.11877348323853619</v>
      </c>
      <c r="R21" s="1">
        <v>0</v>
      </c>
    </row>
    <row r="22" spans="1:18" ht="11.25">
      <c r="A22" s="11" t="s">
        <v>29</v>
      </c>
      <c r="B22" s="88">
        <v>0.0261</v>
      </c>
      <c r="C22" s="33"/>
      <c r="D22" s="33"/>
      <c r="E22" s="33"/>
      <c r="F22" s="33"/>
      <c r="G22" s="4"/>
      <c r="M22" s="1">
        <f>SUM(M16:M21)</f>
        <v>89.11587295264502</v>
      </c>
      <c r="N22" s="84">
        <f t="shared" si="3"/>
        <v>0.9901763661405002</v>
      </c>
      <c r="R22" s="1">
        <f>SUM(R16:R21)</f>
        <v>36</v>
      </c>
    </row>
    <row r="23" spans="1:18" ht="12" thickBot="1">
      <c r="A23" s="68" t="s">
        <v>51</v>
      </c>
      <c r="B23" s="89">
        <v>0.71</v>
      </c>
      <c r="C23" s="33"/>
      <c r="D23" s="33"/>
      <c r="E23" s="33"/>
      <c r="F23" s="33"/>
      <c r="G23" s="4"/>
      <c r="H23" s="1">
        <v>0</v>
      </c>
      <c r="I23" s="1">
        <v>0.1</v>
      </c>
      <c r="K23" s="1">
        <f>ATAN(I23/$L$13)</f>
        <v>0.3805063771123649</v>
      </c>
      <c r="O23" t="s">
        <v>132</v>
      </c>
      <c r="R23" s="1">
        <v>40</v>
      </c>
    </row>
    <row r="24" spans="1:18" ht="12.75" thickBot="1" thickTop="1">
      <c r="A24" s="68" t="s">
        <v>58</v>
      </c>
      <c r="B24" s="87">
        <v>0.5443310539518176</v>
      </c>
      <c r="C24" s="32" t="s">
        <v>8</v>
      </c>
      <c r="D24" s="42"/>
      <c r="E24" s="42"/>
      <c r="F24" s="33"/>
      <c r="G24" s="35"/>
      <c r="H24"/>
      <c r="O24" t="s">
        <v>133</v>
      </c>
      <c r="R24" s="90">
        <f>+R22/R23</f>
        <v>0.9</v>
      </c>
    </row>
    <row r="25" spans="1:13" ht="12" thickTop="1">
      <c r="A25" s="68" t="s">
        <v>52</v>
      </c>
      <c r="B25" s="91">
        <v>693415.3553526339</v>
      </c>
      <c r="C25" s="33"/>
      <c r="D25" s="33"/>
      <c r="E25" s="33"/>
      <c r="F25" s="33"/>
      <c r="G25" s="4"/>
      <c r="I25"/>
      <c r="J25"/>
      <c r="K25"/>
      <c r="L25"/>
      <c r="M25"/>
    </row>
    <row r="26" spans="1:8" ht="11.25">
      <c r="A26" s="68" t="s">
        <v>53</v>
      </c>
      <c r="B26" s="92" t="s">
        <v>32</v>
      </c>
      <c r="C26" s="33"/>
      <c r="D26" s="33"/>
      <c r="E26" s="33"/>
      <c r="F26" s="33"/>
      <c r="G26" s="4"/>
      <c r="H26"/>
    </row>
    <row r="27" spans="1:7" ht="11.25">
      <c r="A27" s="68" t="s">
        <v>28</v>
      </c>
      <c r="B27" s="87">
        <v>1553.874491628155</v>
      </c>
      <c r="C27" s="33"/>
      <c r="D27" s="33"/>
      <c r="E27" s="33"/>
      <c r="F27" s="33"/>
      <c r="G27" s="4"/>
    </row>
    <row r="28" spans="1:7" ht="11.25">
      <c r="A28" s="68" t="s">
        <v>54</v>
      </c>
      <c r="B28" s="87">
        <v>74.50635773406518</v>
      </c>
      <c r="C28" s="32" t="s">
        <v>30</v>
      </c>
      <c r="D28" s="33"/>
      <c r="E28" s="33"/>
      <c r="F28" s="33"/>
      <c r="G28" s="4"/>
    </row>
    <row r="29" spans="1:7" ht="11.25">
      <c r="A29" s="11" t="s">
        <v>18</v>
      </c>
      <c r="B29" s="93">
        <v>65.58658251238133</v>
      </c>
      <c r="C29" s="33" t="s">
        <v>4</v>
      </c>
      <c r="D29" s="33"/>
      <c r="E29" s="33"/>
      <c r="F29" s="33"/>
      <c r="G29" s="4"/>
    </row>
    <row r="30" spans="1:7" ht="11.25">
      <c r="A30" s="11"/>
      <c r="B30" s="87"/>
      <c r="C30" s="33"/>
      <c r="D30" s="33"/>
      <c r="E30" s="33"/>
      <c r="F30" s="33"/>
      <c r="G30" s="4"/>
    </row>
    <row r="31" spans="1:7" ht="11.25">
      <c r="A31" s="68" t="s">
        <v>41</v>
      </c>
      <c r="B31" s="94">
        <v>0.025</v>
      </c>
      <c r="C31" s="32" t="s">
        <v>9</v>
      </c>
      <c r="D31" s="32" t="s">
        <v>69</v>
      </c>
      <c r="E31" s="33"/>
      <c r="F31" s="33"/>
      <c r="G31" s="4"/>
    </row>
    <row r="32" spans="1:7" ht="11.25">
      <c r="A32" s="11" t="s">
        <v>19</v>
      </c>
      <c r="B32" s="74">
        <v>0.5</v>
      </c>
      <c r="C32" s="33" t="s">
        <v>17</v>
      </c>
      <c r="D32" s="32" t="s">
        <v>70</v>
      </c>
      <c r="E32" s="33"/>
      <c r="F32" s="33"/>
      <c r="G32" s="4"/>
    </row>
    <row r="33" spans="1:7" ht="11.25">
      <c r="A33" s="9" t="s">
        <v>16</v>
      </c>
      <c r="B33" s="95">
        <v>20000</v>
      </c>
      <c r="C33" s="37" t="s">
        <v>4</v>
      </c>
      <c r="D33" s="70"/>
      <c r="E33" s="37"/>
      <c r="F33" s="37"/>
      <c r="G33" s="6"/>
    </row>
    <row r="34" spans="1:7" ht="11.25">
      <c r="A34" s="66" t="s">
        <v>49</v>
      </c>
      <c r="B34" s="73">
        <v>20</v>
      </c>
      <c r="C34" s="28" t="s">
        <v>1</v>
      </c>
      <c r="D34" s="28"/>
      <c r="E34" s="28"/>
      <c r="F34" s="28"/>
      <c r="G34" s="30"/>
    </row>
    <row r="35" spans="1:7" ht="11.25">
      <c r="A35" s="9" t="s">
        <v>3</v>
      </c>
      <c r="B35" s="96">
        <v>20</v>
      </c>
      <c r="C35" s="37" t="s">
        <v>2</v>
      </c>
      <c r="D35" s="37"/>
      <c r="E35" s="37"/>
      <c r="F35" s="37"/>
      <c r="G35" s="6"/>
    </row>
    <row r="36" spans="1:4" ht="12" thickBot="1">
      <c r="A36" s="1" t="s">
        <v>6</v>
      </c>
      <c r="B36" s="97">
        <v>59.86925558893048</v>
      </c>
      <c r="C36" s="1" t="s">
        <v>2</v>
      </c>
      <c r="D36" t="s">
        <v>39</v>
      </c>
    </row>
    <row r="37" spans="1:4" ht="12.75" thickBot="1" thickTop="1">
      <c r="A37" t="s">
        <v>61</v>
      </c>
      <c r="B37" s="98">
        <v>35.914707075371204</v>
      </c>
      <c r="C37" s="1" t="s">
        <v>5</v>
      </c>
      <c r="D37" t="s">
        <v>38</v>
      </c>
    </row>
    <row r="38" spans="1:3" ht="12" thickTop="1">
      <c r="A38" s="1" t="s">
        <v>7</v>
      </c>
      <c r="B38" s="99">
        <v>35.91470707536874</v>
      </c>
      <c r="C38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andrea.d</dc:creator>
  <cp:keywords/>
  <dc:description/>
  <cp:lastModifiedBy>Andrea</cp:lastModifiedBy>
  <cp:lastPrinted>2013-05-16T07:52:00Z</cp:lastPrinted>
  <dcterms:created xsi:type="dcterms:W3CDTF">2013-03-21T09:52:30Z</dcterms:created>
  <dcterms:modified xsi:type="dcterms:W3CDTF">2013-05-23T08:15:52Z</dcterms:modified>
  <cp:category/>
  <cp:version/>
  <cp:contentType/>
  <cp:contentStatus/>
</cp:coreProperties>
</file>